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macon6\Documents\Projet Kipawa\Resultats_Simon\ArticleCanMin2021\Corrections&amp;final rev2022\Final Sup mat\"/>
    </mc:Choice>
  </mc:AlternateContent>
  <xr:revisionPtr revIDLastSave="0" documentId="13_ncr:1_{3D37E1D6-7672-4333-964A-79D969F1CB4A}" xr6:coauthVersionLast="36" xr6:coauthVersionMax="47" xr10:uidLastSave="{00000000-0000-0000-0000-000000000000}"/>
  <bookViews>
    <workbookView xWindow="0" yWindow="0" windowWidth="23040" windowHeight="10404" xr2:uid="{00000000-000D-0000-FFFF-FFFF00000000}"/>
  </bookViews>
  <sheets>
    <sheet name="TABLE D1. DETECTION LIMITS 2009" sheetId="1" r:id="rId1"/>
    <sheet name="TABLE D2. DETECTION LIMITS 2010" sheetId="11" r:id="rId2"/>
    <sheet name="TABLE D3. DETECTION LIMITS 2010" sheetId="2" r:id="rId3"/>
    <sheet name="TABLE D4. DETECTION LIMITS 2010" sheetId="3" r:id="rId4"/>
    <sheet name="TABLE D5. DETECTION LIMITS 2012" sheetId="5" r:id="rId5"/>
    <sheet name="TABLE D6. DETECTION LIMITS 2012" sheetId="6" r:id="rId6"/>
    <sheet name="TABLE D7. DETECTION LIMITS 2018" sheetId="7" r:id="rId7"/>
    <sheet name="TABLE D8. DETECTION LIMITS 2018" sheetId="8" r:id="rId8"/>
    <sheet name="TABLE D9. DETECTION LIMITS 201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8" i="6" l="1"/>
  <c r="AM38" i="6"/>
  <c r="AL38" i="6"/>
  <c r="AJ38" i="6"/>
  <c r="AI38" i="6"/>
  <c r="AH38" i="6"/>
  <c r="AG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N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H33" i="6"/>
  <c r="G33" i="6"/>
  <c r="F33" i="6"/>
  <c r="E33" i="6"/>
  <c r="D33" i="6"/>
  <c r="C33" i="6"/>
  <c r="B33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C32" i="6"/>
  <c r="B32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F30" i="6"/>
  <c r="E30" i="6"/>
  <c r="D30" i="6"/>
  <c r="C30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N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N26" i="6"/>
  <c r="AM26" i="6"/>
  <c r="AL26" i="6"/>
  <c r="AK26" i="6"/>
  <c r="AJ26" i="6"/>
  <c r="AI26" i="6"/>
  <c r="AH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K26" i="6"/>
  <c r="J26" i="6"/>
  <c r="I26" i="6"/>
  <c r="H26" i="6"/>
  <c r="G26" i="6"/>
  <c r="F26" i="6"/>
  <c r="E26" i="6"/>
  <c r="D26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O24" i="6"/>
  <c r="N24" i="6"/>
  <c r="M24" i="6"/>
  <c r="L24" i="6"/>
  <c r="K24" i="6"/>
  <c r="J24" i="6"/>
  <c r="I24" i="6"/>
  <c r="H24" i="6"/>
  <c r="G24" i="6"/>
  <c r="F24" i="6"/>
  <c r="E24" i="6"/>
  <c r="D24" i="6"/>
  <c r="B24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B23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O20" i="6"/>
  <c r="N20" i="6"/>
  <c r="M20" i="6"/>
  <c r="L20" i="6"/>
  <c r="K20" i="6"/>
  <c r="J20" i="6"/>
  <c r="H20" i="6"/>
  <c r="G20" i="6"/>
  <c r="F20" i="6"/>
  <c r="E20" i="6"/>
  <c r="D20" i="6"/>
  <c r="AN19" i="6"/>
  <c r="AM19" i="6"/>
  <c r="AL19" i="6"/>
  <c r="AK19" i="6"/>
  <c r="AI19" i="6"/>
  <c r="AH19" i="6"/>
  <c r="AG19" i="6"/>
  <c r="AF19" i="6"/>
  <c r="AE19" i="6"/>
  <c r="AD19" i="6"/>
  <c r="AC19" i="6"/>
  <c r="AB19" i="6"/>
  <c r="AA19" i="6"/>
  <c r="Z19" i="6"/>
  <c r="Y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J17" i="6"/>
  <c r="I17" i="6"/>
  <c r="H17" i="6"/>
  <c r="G17" i="6"/>
  <c r="F17" i="6"/>
  <c r="E17" i="6"/>
  <c r="D17" i="6"/>
  <c r="C17" i="6"/>
  <c r="B17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S16" i="6"/>
  <c r="R16" i="6"/>
  <c r="Q16" i="6"/>
  <c r="P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O13" i="6"/>
  <c r="N13" i="6"/>
  <c r="L13" i="6"/>
  <c r="J13" i="6"/>
  <c r="I13" i="6"/>
  <c r="H13" i="6"/>
  <c r="G13" i="6"/>
  <c r="F13" i="6"/>
  <c r="E13" i="6"/>
  <c r="D13" i="6"/>
  <c r="C13" i="6"/>
  <c r="B13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K12" i="6"/>
  <c r="J12" i="6"/>
  <c r="I12" i="6"/>
  <c r="H12" i="6"/>
  <c r="G12" i="6"/>
  <c r="F12" i="6"/>
  <c r="E12" i="6"/>
  <c r="D12" i="6"/>
  <c r="B12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P11" i="6"/>
  <c r="O11" i="6"/>
  <c r="N11" i="6"/>
  <c r="M11" i="6"/>
  <c r="L11" i="6"/>
  <c r="J11" i="6"/>
  <c r="I11" i="6"/>
  <c r="H11" i="6"/>
  <c r="G11" i="6"/>
  <c r="F11" i="6"/>
  <c r="E11" i="6"/>
  <c r="D11" i="6"/>
  <c r="C11" i="6"/>
  <c r="B11" i="6"/>
  <c r="AN10" i="6"/>
  <c r="AM10" i="6"/>
  <c r="AL10" i="6"/>
  <c r="AK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P10" i="6"/>
  <c r="O10" i="6"/>
  <c r="N10" i="6"/>
  <c r="M10" i="6"/>
  <c r="J10" i="6"/>
  <c r="I10" i="6"/>
  <c r="H10" i="6"/>
  <c r="G10" i="6"/>
  <c r="F10" i="6"/>
  <c r="E10" i="6"/>
  <c r="D10" i="6"/>
  <c r="C10" i="6"/>
  <c r="B10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P9" i="6"/>
  <c r="N9" i="6"/>
  <c r="M9" i="6"/>
  <c r="K9" i="6"/>
  <c r="J9" i="6"/>
  <c r="I9" i="6"/>
  <c r="H9" i="6"/>
  <c r="G9" i="6"/>
  <c r="F9" i="6"/>
  <c r="E9" i="6"/>
  <c r="D9" i="6"/>
  <c r="C9" i="6"/>
  <c r="B9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P8" i="6"/>
  <c r="O8" i="6"/>
  <c r="N8" i="6"/>
  <c r="K8" i="6"/>
  <c r="J8" i="6"/>
  <c r="I8" i="6"/>
  <c r="H8" i="6"/>
  <c r="G8" i="6"/>
  <c r="F8" i="6"/>
  <c r="E8" i="6"/>
  <c r="D8" i="6"/>
  <c r="C8" i="6"/>
  <c r="B8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O7" i="6"/>
  <c r="M7" i="6"/>
  <c r="H7" i="6"/>
  <c r="G7" i="6"/>
  <c r="F7" i="6"/>
  <c r="E7" i="6"/>
  <c r="D7" i="6"/>
  <c r="C7" i="6"/>
  <c r="B7" i="6"/>
</calcChain>
</file>

<file path=xl/sharedStrings.xml><?xml version="1.0" encoding="utf-8"?>
<sst xmlns="http://schemas.openxmlformats.org/spreadsheetml/2006/main" count="1868" uniqueCount="886">
  <si>
    <t>F</t>
  </si>
  <si>
    <t>Cl</t>
  </si>
  <si>
    <t xml:space="preserve">#1  </t>
  </si>
  <si>
    <t xml:space="preserve">#2  </t>
  </si>
  <si>
    <t xml:space="preserve">#3  </t>
  </si>
  <si>
    <t xml:space="preserve">#4  </t>
  </si>
  <si>
    <t xml:space="preserve">#5  </t>
  </si>
  <si>
    <t xml:space="preserve">#6  </t>
  </si>
  <si>
    <t xml:space="preserve">#7  </t>
  </si>
  <si>
    <t xml:space="preserve">#8  </t>
  </si>
  <si>
    <t xml:space="preserve">#9  </t>
  </si>
  <si>
    <t xml:space="preserve">#10 </t>
  </si>
  <si>
    <t xml:space="preserve">#11 </t>
  </si>
  <si>
    <t xml:space="preserve">#12 </t>
  </si>
  <si>
    <t xml:space="preserve">#13 </t>
  </si>
  <si>
    <t xml:space="preserve">#14 </t>
  </si>
  <si>
    <t xml:space="preserve">#15 </t>
  </si>
  <si>
    <t xml:space="preserve">#16 </t>
  </si>
  <si>
    <t xml:space="preserve">#17 </t>
  </si>
  <si>
    <t xml:space="preserve">#18 </t>
  </si>
  <si>
    <t xml:space="preserve">#19 </t>
  </si>
  <si>
    <t xml:space="preserve">#20 </t>
  </si>
  <si>
    <t xml:space="preserve">#21 </t>
  </si>
  <si>
    <t xml:space="preserve">#22 </t>
  </si>
  <si>
    <t xml:space="preserve">#23 </t>
  </si>
  <si>
    <t xml:space="preserve">#24 </t>
  </si>
  <si>
    <t xml:space="preserve">#25 </t>
  </si>
  <si>
    <t xml:space="preserve">#26 </t>
  </si>
  <si>
    <t xml:space="preserve">#27 </t>
  </si>
  <si>
    <t xml:space="preserve">#28 </t>
  </si>
  <si>
    <t xml:space="preserve">#29 </t>
  </si>
  <si>
    <t xml:space="preserve">#30 </t>
  </si>
  <si>
    <t xml:space="preserve">#31 </t>
  </si>
  <si>
    <t xml:space="preserve">#32 </t>
  </si>
  <si>
    <t xml:space="preserve">#33 </t>
  </si>
  <si>
    <t xml:space="preserve">#34 </t>
  </si>
  <si>
    <t xml:space="preserve">#35 </t>
  </si>
  <si>
    <t xml:space="preserve">#36 </t>
  </si>
  <si>
    <t xml:space="preserve">#37 </t>
  </si>
  <si>
    <t xml:space="preserve">#38 </t>
  </si>
  <si>
    <t xml:space="preserve">#39 </t>
  </si>
  <si>
    <t xml:space="preserve">#40 </t>
  </si>
  <si>
    <t xml:space="preserve">#41 </t>
  </si>
  <si>
    <t xml:space="preserve">#42 </t>
  </si>
  <si>
    <t xml:space="preserve">#43 </t>
  </si>
  <si>
    <t xml:space="preserve">#44 </t>
  </si>
  <si>
    <t xml:space="preserve">#45 </t>
  </si>
  <si>
    <t xml:space="preserve">#46 </t>
  </si>
  <si>
    <t xml:space="preserve">#47 </t>
  </si>
  <si>
    <t xml:space="preserve">#48 </t>
  </si>
  <si>
    <t xml:space="preserve">#49 </t>
  </si>
  <si>
    <t xml:space="preserve">#50 </t>
  </si>
  <si>
    <t xml:space="preserve">#51 </t>
  </si>
  <si>
    <t xml:space="preserve">#52 </t>
  </si>
  <si>
    <t xml:space="preserve">#53 </t>
  </si>
  <si>
    <t xml:space="preserve">#54 </t>
  </si>
  <si>
    <t xml:space="preserve">#55 </t>
  </si>
  <si>
    <t xml:space="preserve">#56 </t>
  </si>
  <si>
    <t xml:space="preserve">#57 </t>
  </si>
  <si>
    <t xml:space="preserve">#58 </t>
  </si>
  <si>
    <t xml:space="preserve">#59 </t>
  </si>
  <si>
    <t xml:space="preserve">#60 </t>
  </si>
  <si>
    <t xml:space="preserve">#61 </t>
  </si>
  <si>
    <t xml:space="preserve">#62 </t>
  </si>
  <si>
    <t xml:space="preserve">#63 </t>
  </si>
  <si>
    <t xml:space="preserve">#64 </t>
  </si>
  <si>
    <t xml:space="preserve">#65 </t>
  </si>
  <si>
    <t xml:space="preserve">#66 </t>
  </si>
  <si>
    <t xml:space="preserve">#67 </t>
  </si>
  <si>
    <t xml:space="preserve">#68 </t>
  </si>
  <si>
    <t xml:space="preserve">#69 </t>
  </si>
  <si>
    <t xml:space="preserve">#70 </t>
  </si>
  <si>
    <t xml:space="preserve">#71 </t>
  </si>
  <si>
    <t xml:space="preserve">#72 </t>
  </si>
  <si>
    <t xml:space="preserve">#73 </t>
  </si>
  <si>
    <t xml:space="preserve">#74 </t>
  </si>
  <si>
    <t xml:space="preserve">#75 </t>
  </si>
  <si>
    <t xml:space="preserve">#76 </t>
  </si>
  <si>
    <t xml:space="preserve">#77 </t>
  </si>
  <si>
    <t xml:space="preserve">#78 </t>
  </si>
  <si>
    <t xml:space="preserve">#79 </t>
  </si>
  <si>
    <t xml:space="preserve">T-2 A1                                                  </t>
  </si>
  <si>
    <t xml:space="preserve">T-2 A2                                                  </t>
  </si>
  <si>
    <t xml:space="preserve">T-2 A3                                                  </t>
  </si>
  <si>
    <t xml:space="preserve">T-2 B2                                                  </t>
  </si>
  <si>
    <t xml:space="preserve">T-2 B1                                                  </t>
  </si>
  <si>
    <t xml:space="preserve">T-2 B3                                                  </t>
  </si>
  <si>
    <t xml:space="preserve">FF15A A1                                                </t>
  </si>
  <si>
    <t xml:space="preserve">FF15A A2                                                </t>
  </si>
  <si>
    <t xml:space="preserve">FF15A A3                                                </t>
  </si>
  <si>
    <t xml:space="preserve">FF15A A4                                                </t>
  </si>
  <si>
    <t xml:space="preserve">FF15A B1                                                </t>
  </si>
  <si>
    <t xml:space="preserve">FF15A B12                                               </t>
  </si>
  <si>
    <t xml:space="preserve">FF15A B13                                               </t>
  </si>
  <si>
    <t xml:space="preserve">FF15A B2                                                </t>
  </si>
  <si>
    <t xml:space="preserve">FF15A B22                                               </t>
  </si>
  <si>
    <t xml:space="preserve">FF15A B3                                                </t>
  </si>
  <si>
    <t xml:space="preserve">FF15A B4 (petit)                                        </t>
  </si>
  <si>
    <t xml:space="preserve">FF15A B5                                                </t>
  </si>
  <si>
    <t xml:space="preserve">FF15A B6                                                </t>
  </si>
  <si>
    <t xml:space="preserve">FF15A B7                                                </t>
  </si>
  <si>
    <t xml:space="preserve">FF15A B8                                                </t>
  </si>
  <si>
    <t xml:space="preserve">FF15A B9                                                </t>
  </si>
  <si>
    <t xml:space="preserve">FF15A D1                                                </t>
  </si>
  <si>
    <t xml:space="preserve">FF15A D2 (petit)                                        </t>
  </si>
  <si>
    <t xml:space="preserve">FF15A C1                                                </t>
  </si>
  <si>
    <t xml:space="preserve">FF15A C2                                                </t>
  </si>
  <si>
    <t xml:space="preserve">FF15A C3                                                </t>
  </si>
  <si>
    <t xml:space="preserve">FF15A C4                                                </t>
  </si>
  <si>
    <t xml:space="preserve">FF15C A1                                                </t>
  </si>
  <si>
    <t xml:space="preserve">FF15C A2                                                </t>
  </si>
  <si>
    <t xml:space="preserve">FF15C A3                                                </t>
  </si>
  <si>
    <t xml:space="preserve">FF15C A4                                                </t>
  </si>
  <si>
    <t xml:space="preserve">FF15C B1                                                </t>
  </si>
  <si>
    <t xml:space="preserve">FF15C B2                                                </t>
  </si>
  <si>
    <t xml:space="preserve">FF15C B3                                                </t>
  </si>
  <si>
    <t xml:space="preserve">FF15C B4                                                </t>
  </si>
  <si>
    <t xml:space="preserve">FF15C H1                                                </t>
  </si>
  <si>
    <t xml:space="preserve">FF15C H2                                                </t>
  </si>
  <si>
    <t xml:space="preserve">FF15C H3                                                </t>
  </si>
  <si>
    <t xml:space="preserve">FF15C H4                                                </t>
  </si>
  <si>
    <t xml:space="preserve">FF15C C1                                                </t>
  </si>
  <si>
    <t xml:space="preserve">FF15C C2                                                </t>
  </si>
  <si>
    <t xml:space="preserve">FF15C C3                                                </t>
  </si>
  <si>
    <t xml:space="preserve">FF15C D1                                                </t>
  </si>
  <si>
    <t xml:space="preserve">FF15C D2                                                </t>
  </si>
  <si>
    <t xml:space="preserve">FF15C D3                                                </t>
  </si>
  <si>
    <t xml:space="preserve">FF15C D32                                               </t>
  </si>
  <si>
    <t xml:space="preserve">FF15C D33  (petit)                                      </t>
  </si>
  <si>
    <t xml:space="preserve">FF15C D4                                                </t>
  </si>
  <si>
    <t xml:space="preserve">FF15C D5                                                </t>
  </si>
  <si>
    <t xml:space="preserve">FF15C D6                                                </t>
  </si>
  <si>
    <t xml:space="preserve">FF15C D7                                                </t>
  </si>
  <si>
    <t xml:space="preserve">FF15C D8                                                </t>
  </si>
  <si>
    <t xml:space="preserve">FF15C I1                                                </t>
  </si>
  <si>
    <t xml:space="preserve">FF15C I2                                                </t>
  </si>
  <si>
    <t xml:space="preserve">FF15C I3                                                </t>
  </si>
  <si>
    <t xml:space="preserve">FF15C E1                                                </t>
  </si>
  <si>
    <t xml:space="preserve">FF15C E2                                                </t>
  </si>
  <si>
    <t xml:space="preserve">FF15C E3                                                </t>
  </si>
  <si>
    <t xml:space="preserve">FF15C G1                                                </t>
  </si>
  <si>
    <t xml:space="preserve">FF15C G2                                                </t>
  </si>
  <si>
    <t xml:space="preserve">FF15C G3                                                </t>
  </si>
  <si>
    <t xml:space="preserve">T8S B1                                                  </t>
  </si>
  <si>
    <t xml:space="preserve">T8S B2                                                  </t>
  </si>
  <si>
    <t xml:space="preserve">T8S B3                                                  </t>
  </si>
  <si>
    <t xml:space="preserve">T8S B4                                                  </t>
  </si>
  <si>
    <t xml:space="preserve">T8S B8                                                  </t>
  </si>
  <si>
    <t xml:space="preserve">T8S B5                                                  </t>
  </si>
  <si>
    <t xml:space="preserve">T8S B6 (petit)                                          </t>
  </si>
  <si>
    <t xml:space="preserve">T8S B7                                                  </t>
  </si>
  <si>
    <t xml:space="preserve">T8S B12                                                 </t>
  </si>
  <si>
    <t xml:space="preserve">T8S B13                                                 </t>
  </si>
  <si>
    <t xml:space="preserve">T8S B9                                                  </t>
  </si>
  <si>
    <t xml:space="preserve">T8S B10                                                 </t>
  </si>
  <si>
    <t xml:space="preserve">T8S C1                                                  </t>
  </si>
  <si>
    <t xml:space="preserve">T8S C2                                                  </t>
  </si>
  <si>
    <t xml:space="preserve">T8S C4                                                  </t>
  </si>
  <si>
    <t xml:space="preserve">T8S C5                                                  </t>
  </si>
  <si>
    <t xml:space="preserve">T8S D1                                                  </t>
  </si>
  <si>
    <t>NaN</t>
  </si>
  <si>
    <t>Si</t>
  </si>
  <si>
    <t>Ti</t>
  </si>
  <si>
    <t>Al</t>
  </si>
  <si>
    <t>Mn</t>
  </si>
  <si>
    <t>Ca</t>
  </si>
  <si>
    <t>Na</t>
  </si>
  <si>
    <t>P</t>
  </si>
  <si>
    <t xml:space="preserve">Y </t>
  </si>
  <si>
    <t>Zr</t>
  </si>
  <si>
    <t>Nb</t>
  </si>
  <si>
    <t>Hf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</si>
  <si>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</si>
  <si>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</si>
  <si>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</si>
  <si>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</si>
  <si>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</si>
  <si>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</si>
  <si>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</si>
  <si>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</si>
  <si>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</si>
  <si>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</si>
  <si>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</si>
  <si>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</si>
  <si>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</si>
  <si>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Pb</t>
  </si>
  <si>
    <t>Th</t>
  </si>
  <si>
    <t>U</t>
  </si>
  <si>
    <t>Mg</t>
  </si>
  <si>
    <t>K</t>
  </si>
  <si>
    <t>Y</t>
  </si>
  <si>
    <t>Fe</t>
  </si>
  <si>
    <t xml:space="preserve">SRA10 A-1                                               </t>
  </si>
  <si>
    <t xml:space="preserve">SRA10 A-2 pale                                          </t>
  </si>
  <si>
    <t xml:space="preserve">SRA10 A-2 fonce                                         </t>
  </si>
  <si>
    <t xml:space="preserve">SRA10 E-1 pale                                          </t>
  </si>
  <si>
    <t xml:space="preserve">SRA10 E-1 fonce                                         </t>
  </si>
  <si>
    <t xml:space="preserve">SRA10 F-1 pale                                          </t>
  </si>
  <si>
    <t xml:space="preserve">SRA10 F-1 fonce                                         </t>
  </si>
  <si>
    <t xml:space="preserve">SRA10 G-1 pale                                          </t>
  </si>
  <si>
    <t xml:space="preserve">SRA10 G-1 fonce                                         </t>
  </si>
  <si>
    <t xml:space="preserve">SRA10 H-1 pale                                          </t>
  </si>
  <si>
    <t xml:space="preserve">SRA10 H-1 fonce                                         </t>
  </si>
  <si>
    <t xml:space="preserve">SRA10 D-1                                               </t>
  </si>
  <si>
    <t xml:space="preserve">SRA10 D-2                                               </t>
  </si>
  <si>
    <t xml:space="preserve">SRA10 D-3                                               </t>
  </si>
  <si>
    <t xml:space="preserve">SRA10 D-4                                               </t>
  </si>
  <si>
    <t xml:space="preserve">SRA10 D-5                                               </t>
  </si>
  <si>
    <t xml:space="preserve">SRA10 D-6                                               </t>
  </si>
  <si>
    <t xml:space="preserve">SRA10 C-1                                               </t>
  </si>
  <si>
    <t xml:space="preserve">SRA10 C-3                                               </t>
  </si>
  <si>
    <t xml:space="preserve">SRA2 B-1                                                </t>
  </si>
  <si>
    <t xml:space="preserve">SRA2 B-2 pale                                           </t>
  </si>
  <si>
    <t xml:space="preserve">SRA2 B-2 fonce                                          </t>
  </si>
  <si>
    <t xml:space="preserve">SRA2 C-1 pale                                           </t>
  </si>
  <si>
    <t xml:space="preserve">SRA2 C-1 fonce                                          </t>
  </si>
  <si>
    <t xml:space="preserve">SRA2 D-1 pale                                           </t>
  </si>
  <si>
    <t xml:space="preserve">SRA2 D-1 fonce                                          </t>
  </si>
  <si>
    <t xml:space="preserve">SRA2 E-1 pale                                           </t>
  </si>
  <si>
    <t xml:space="preserve">SRA2 E-1 fonce                                          </t>
  </si>
  <si>
    <t xml:space="preserve">SRA2 A-1 pale                                           </t>
  </si>
  <si>
    <t xml:space="preserve">SRA2 A-1 fonce                                          </t>
  </si>
  <si>
    <t xml:space="preserve">SRA2 A-1 +fonce                                         </t>
  </si>
  <si>
    <t xml:space="preserve">SRA2 A-2 pale                                           </t>
  </si>
  <si>
    <t xml:space="preserve">SRA2 A-2 fonce                                          </t>
  </si>
  <si>
    <t xml:space="preserve">SRA2 F-1 pale                                           </t>
  </si>
  <si>
    <t xml:space="preserve">SRA2 F-1 fonce                                          </t>
  </si>
  <si>
    <t xml:space="preserve">SRA2 F-1 inter                                          </t>
  </si>
  <si>
    <t xml:space="preserve">SRA11B G-1                                              </t>
  </si>
  <si>
    <t xml:space="preserve">SRA11B D-1                                              </t>
  </si>
  <si>
    <t xml:space="preserve">SRA11B D-2                                              </t>
  </si>
  <si>
    <t xml:space="preserve">SRA11B D-3 pale                                         </t>
  </si>
  <si>
    <t xml:space="preserve">SRA11B D-3 fonce                                        </t>
  </si>
  <si>
    <t xml:space="preserve">SRA11B E-1 pale                                         </t>
  </si>
  <si>
    <t xml:space="preserve">SRA11B E-1 fonce                                        </t>
  </si>
  <si>
    <t xml:space="preserve">SRA11B E-2 pale                                         </t>
  </si>
  <si>
    <t xml:space="preserve">SRA11B E-2 fonce                                        </t>
  </si>
  <si>
    <t xml:space="preserve">SRA11B E-3 pale                                         </t>
  </si>
  <si>
    <t xml:space="preserve">SRA11B E-3 fonce                                        </t>
  </si>
  <si>
    <t xml:space="preserve">SRA11B E-4 pale                                         </t>
  </si>
  <si>
    <t xml:space="preserve">SRA11B E-4 fonce                                        </t>
  </si>
  <si>
    <t xml:space="preserve">SRA11B F-1 pale                                         </t>
  </si>
  <si>
    <t xml:space="preserve">SRA11B F-2                                              </t>
  </si>
  <si>
    <t xml:space="preserve">SRA11B F-3                                              </t>
  </si>
  <si>
    <t xml:space="preserve">SRA11B F-4                                              </t>
  </si>
  <si>
    <t xml:space="preserve">SRA11B F-5                                              </t>
  </si>
  <si>
    <t xml:space="preserve">SRA11B F-6                                              </t>
  </si>
  <si>
    <t xml:space="preserve">SRA11B F-7                                              </t>
  </si>
  <si>
    <t xml:space="preserve">SRA5 A-2                                                </t>
  </si>
  <si>
    <t xml:space="preserve">SRA5 A-3                                                </t>
  </si>
  <si>
    <t xml:space="preserve">SRA5 D-1                                                </t>
  </si>
  <si>
    <t xml:space="preserve">SRA5 D-2                                                </t>
  </si>
  <si>
    <t xml:space="preserve">SRA5 C-1                                                </t>
  </si>
  <si>
    <t xml:space="preserve">SRA5 B-1                                                </t>
  </si>
  <si>
    <t xml:space="preserve">SRA5 E-1                                                </t>
  </si>
  <si>
    <t xml:space="preserve">SRA5 E-2                                                </t>
  </si>
  <si>
    <t xml:space="preserve">#80 </t>
  </si>
  <si>
    <t xml:space="preserve">#81 </t>
  </si>
  <si>
    <t xml:space="preserve">#82 </t>
  </si>
  <si>
    <t xml:space="preserve">#83 </t>
  </si>
  <si>
    <t xml:space="preserve">#84 </t>
  </si>
  <si>
    <t xml:space="preserve">#85 </t>
  </si>
  <si>
    <t xml:space="preserve">#86 </t>
  </si>
  <si>
    <t xml:space="preserve">#87 </t>
  </si>
  <si>
    <t xml:space="preserve">#88 </t>
  </si>
  <si>
    <t xml:space="preserve">#89 </t>
  </si>
  <si>
    <t xml:space="preserve">#90 </t>
  </si>
  <si>
    <t xml:space="preserve">#91 </t>
  </si>
  <si>
    <t xml:space="preserve">#92 </t>
  </si>
  <si>
    <t xml:space="preserve">#93 </t>
  </si>
  <si>
    <t xml:space="preserve">#94 </t>
  </si>
  <si>
    <t xml:space="preserve">#95 </t>
  </si>
  <si>
    <t xml:space="preserve">#96 </t>
  </si>
  <si>
    <t xml:space="preserve">#97 </t>
  </si>
  <si>
    <t xml:space="preserve">#98 </t>
  </si>
  <si>
    <t xml:space="preserve">#99 </t>
  </si>
  <si>
    <t>#100</t>
  </si>
  <si>
    <t>#101</t>
  </si>
  <si>
    <t>#102</t>
  </si>
  <si>
    <t xml:space="preserve">SRA-12 A phase 1                                        </t>
  </si>
  <si>
    <t xml:space="preserve">SRA-12 A phase 2                                        </t>
  </si>
  <si>
    <t xml:space="preserve">SRA-12 A phase 3                                        </t>
  </si>
  <si>
    <t xml:space="preserve">SRA-12 A phase 4                                        </t>
  </si>
  <si>
    <t xml:space="preserve">SRA-12 C phase 1                                        </t>
  </si>
  <si>
    <t xml:space="preserve">SRA-12 C phase 1 pale                                   </t>
  </si>
  <si>
    <t xml:space="preserve">SRA-12 C phase 2                                        </t>
  </si>
  <si>
    <t xml:space="preserve">SRA-12 C phase 3                                        </t>
  </si>
  <si>
    <t xml:space="preserve">SRA-12 C phase 4                                        </t>
  </si>
  <si>
    <t xml:space="preserve">SRA-12 B phase 1                                        </t>
  </si>
  <si>
    <t xml:space="preserve">SRA-12 B phase 2                                        </t>
  </si>
  <si>
    <t xml:space="preserve">SRA-12 B phase 3                                        </t>
  </si>
  <si>
    <t xml:space="preserve">SRA-12 B phase 4                                        </t>
  </si>
  <si>
    <t xml:space="preserve">SRA-12 B phase 5                                        </t>
  </si>
  <si>
    <t xml:space="preserve">SRA-12 B phase 6                                        </t>
  </si>
  <si>
    <t xml:space="preserve">SRA-12 E phase 1 pale                                   </t>
  </si>
  <si>
    <t xml:space="preserve">SRA-12 E phase 2                                        </t>
  </si>
  <si>
    <t xml:space="preserve">SRA-12 E phase 3                                        </t>
  </si>
  <si>
    <t xml:space="preserve">SRA-12 E phase 4                                        </t>
  </si>
  <si>
    <t xml:space="preserve">SRA-12 E phase 5                                        </t>
  </si>
  <si>
    <t xml:space="preserve">SRA-12 E phase 6                                        </t>
  </si>
  <si>
    <t xml:space="preserve">SRA-12 E phase 7                                        </t>
  </si>
  <si>
    <t xml:space="preserve">SRA-12 E phase 8                                        </t>
  </si>
  <si>
    <t xml:space="preserve">SRA-12 E phase 9                                        </t>
  </si>
  <si>
    <t xml:space="preserve">SRA-12 E phase 10                                       </t>
  </si>
  <si>
    <t xml:space="preserve">SRA-12 E phase 11                                       </t>
  </si>
  <si>
    <t xml:space="preserve">SRA-12 D phase 1                                        </t>
  </si>
  <si>
    <t xml:space="preserve">SRA-12 D phase 2                                        </t>
  </si>
  <si>
    <t xml:space="preserve">SRA-12 D phase 3                                        </t>
  </si>
  <si>
    <t xml:space="preserve">SRA-12 D phase 4                                        </t>
  </si>
  <si>
    <t xml:space="preserve">SRA-12 D phase 5                                        </t>
  </si>
  <si>
    <t xml:space="preserve">SRA-12 D phase 7                                        </t>
  </si>
  <si>
    <t xml:space="preserve">SRA-12 D phase 8                                        </t>
  </si>
  <si>
    <t xml:space="preserve">SRA-3 H phase 2                                         </t>
  </si>
  <si>
    <t xml:space="preserve">SRA-3 H phase 1                                         </t>
  </si>
  <si>
    <t xml:space="preserve">SRA-3 H phase 3                                         </t>
  </si>
  <si>
    <t xml:space="preserve">SRA-3 H phase 4                                         </t>
  </si>
  <si>
    <t xml:space="preserve">SRA-3 G phase 1                                         </t>
  </si>
  <si>
    <t xml:space="preserve">SRA-3 G phase 2                                         </t>
  </si>
  <si>
    <t xml:space="preserve">SRA-3 G phase 3                                         </t>
  </si>
  <si>
    <t xml:space="preserve">SRA-3 G phase 4                                         </t>
  </si>
  <si>
    <t xml:space="preserve">SRA-3 G phase 5                                         </t>
  </si>
  <si>
    <t xml:space="preserve">SRA-3 C-11                                              </t>
  </si>
  <si>
    <t xml:space="preserve">SRA-3 C-10                                              </t>
  </si>
  <si>
    <t xml:space="preserve">SRA-3 C-10b                                             </t>
  </si>
  <si>
    <t xml:space="preserve">SRA-3 C-8                                               </t>
  </si>
  <si>
    <t xml:space="preserve">SRA-3 C-9                                               </t>
  </si>
  <si>
    <t xml:space="preserve">SRA-3 C phase 12                                        </t>
  </si>
  <si>
    <t xml:space="preserve">SRA-3 C phase 13                                        </t>
  </si>
  <si>
    <t xml:space="preserve">SRA-3 C phase 14                                        </t>
  </si>
  <si>
    <t xml:space="preserve">SRA-3 C phase 15                                        </t>
  </si>
  <si>
    <t xml:space="preserve">SRA-3 C phase 16                                        </t>
  </si>
  <si>
    <t xml:space="preserve">SRA-3 C phase 17                                        </t>
  </si>
  <si>
    <t xml:space="preserve">SRA-3 C phase 18                                        </t>
  </si>
  <si>
    <t xml:space="preserve">SRA-3 F phase 6 pale                                    </t>
  </si>
  <si>
    <t xml:space="preserve">SRA-3 F phase 6 foncee                                  </t>
  </si>
  <si>
    <t xml:space="preserve">SRA-3 F phase 2                                         </t>
  </si>
  <si>
    <t xml:space="preserve">SRA-3 F phase 3                                         </t>
  </si>
  <si>
    <t xml:space="preserve">SRA-3 F phase 4                                         </t>
  </si>
  <si>
    <t xml:space="preserve">SRA-3 F phase 5                                         </t>
  </si>
  <si>
    <t xml:space="preserve">SRA-3 photo1 phase 1                                    </t>
  </si>
  <si>
    <t xml:space="preserve">SRA-3 photo1 phase 2                                    </t>
  </si>
  <si>
    <t xml:space="preserve">SRA-3 photo2 phase 2                                    </t>
  </si>
  <si>
    <t xml:space="preserve">SRA-3 photo2 phase 3                                    </t>
  </si>
  <si>
    <t xml:space="preserve">SRA-3 F phase 7                                         </t>
  </si>
  <si>
    <t xml:space="preserve">SRA-10 C phase 4                                        </t>
  </si>
  <si>
    <t xml:space="preserve">SRA-10 C phase 5                                        </t>
  </si>
  <si>
    <t xml:space="preserve">SRA-10 C phase 6                                        </t>
  </si>
  <si>
    <t xml:space="preserve">SRA-10 D phase 1                                        </t>
  </si>
  <si>
    <t xml:space="preserve">SRA-10 D phase 2                                        </t>
  </si>
  <si>
    <t xml:space="preserve">SRA-10 D phase 3                                        </t>
  </si>
  <si>
    <t xml:space="preserve">SRA-10 D phase 4                                        </t>
  </si>
  <si>
    <t xml:space="preserve">SRA-10 D phase 5                                        </t>
  </si>
  <si>
    <t xml:space="preserve">SRA-10 D phase 6                                        </t>
  </si>
  <si>
    <t xml:space="preserve">SRA-10 H phase 1                                        </t>
  </si>
  <si>
    <t xml:space="preserve">SRA-10 H phase 2                                        </t>
  </si>
  <si>
    <t xml:space="preserve">SRA-10 G phase 1                                        </t>
  </si>
  <si>
    <t xml:space="preserve">SRA-10 G phase 2                                        </t>
  </si>
  <si>
    <t xml:space="preserve">SRA-10 G phase 3                                        </t>
  </si>
  <si>
    <t xml:space="preserve">SRA-10 G phase 4                                        </t>
  </si>
  <si>
    <t xml:space="preserve">SRA-10 G phase 5                                        </t>
  </si>
  <si>
    <t xml:space="preserve">SRA-10 F phase 1                                        </t>
  </si>
  <si>
    <t xml:space="preserve">SRA-10 F phase 2                                        </t>
  </si>
  <si>
    <t xml:space="preserve">SRA-10 F phase 3                                        </t>
  </si>
  <si>
    <t xml:space="preserve">SRA-10 F phase 4                                        </t>
  </si>
  <si>
    <t xml:space="preserve">SRA-10 E phase 1                                        </t>
  </si>
  <si>
    <t xml:space="preserve">SRA-10 A phase 3                                        </t>
  </si>
  <si>
    <t xml:space="preserve">SRA-10 A phase 4                                        </t>
  </si>
  <si>
    <t xml:space="preserve">SRA-1 F phase 1                                         </t>
  </si>
  <si>
    <t xml:space="preserve">SRA-1 F phase 2                                         </t>
  </si>
  <si>
    <t xml:space="preserve">SRA-1 F phase 3                                         </t>
  </si>
  <si>
    <t xml:space="preserve">SRA-1 C phase 1                                         </t>
  </si>
  <si>
    <t xml:space="preserve">SRA-1 C phase 2                                         </t>
  </si>
  <si>
    <t xml:space="preserve">SRA-1 C phase 3                                         </t>
  </si>
  <si>
    <t xml:space="preserve">SRA-1 C phase 4                                         </t>
  </si>
  <si>
    <t xml:space="preserve">SRA-1 C phase 5                                         </t>
  </si>
  <si>
    <t xml:space="preserve">SRA-1 C phase 6                                         </t>
  </si>
  <si>
    <t xml:space="preserve">SRA-1 D phase 1                                         </t>
  </si>
  <si>
    <t xml:space="preserve">SRA-1 D phase 2                                         </t>
  </si>
  <si>
    <t xml:space="preserve">SRA-1 D phase 3                                         </t>
  </si>
  <si>
    <t xml:space="preserve">SRA-1 D phase 4                                         </t>
  </si>
  <si>
    <t xml:space="preserve">SRA-1 D phase 5                                         </t>
  </si>
  <si>
    <t xml:space="preserve">SRA-1 E phase 1                                         </t>
  </si>
  <si>
    <t xml:space="preserve">SRA-1 E phase 2                                         </t>
  </si>
  <si>
    <t xml:space="preserve">SRA-1 E phase 4                                         </t>
  </si>
  <si>
    <t xml:space="preserve">SRA-1 E phase 3                                         </t>
  </si>
  <si>
    <t xml:space="preserve">SRA-1 E phase 5                                         </t>
  </si>
  <si>
    <t xml:space="preserve">SRA-1 E phase 6                                         </t>
  </si>
  <si>
    <t xml:space="preserve">SRA-1 E phase 7                                         </t>
  </si>
  <si>
    <t xml:space="preserve">SRA-1 E phase 8                                         </t>
  </si>
  <si>
    <t xml:space="preserve">SRA-1 E phase 9                                         </t>
  </si>
  <si>
    <t xml:space="preserve">SRA-1 E phase 10                                        </t>
  </si>
  <si>
    <t xml:space="preserve">SRA-1 E phase 11                                        </t>
  </si>
  <si>
    <t xml:space="preserve">SRA-1 E phase 12                                        </t>
  </si>
  <si>
    <t xml:space="preserve">SRA-1 A phase 1                                         </t>
  </si>
  <si>
    <t xml:space="preserve">SRA-1 A phase 2 pale                                    </t>
  </si>
  <si>
    <t xml:space="preserve">SRA-1 A phase 2 fonce                                   </t>
  </si>
  <si>
    <t xml:space="preserve">SRA-1 A phase 3                                         </t>
  </si>
  <si>
    <t xml:space="preserve">SRA-1 A phase 4                                         </t>
  </si>
  <si>
    <t xml:space="preserve">SRA-1 A phase 5                                         </t>
  </si>
  <si>
    <t xml:space="preserve">SRA-1 A phase 6                                         </t>
  </si>
  <si>
    <t xml:space="preserve">SRA-1 A phase 7                                         </t>
  </si>
  <si>
    <t xml:space="preserve">SRA-1 A phase 8                                         </t>
  </si>
  <si>
    <t xml:space="preserve">SRA-1 B phase 2                                         </t>
  </si>
  <si>
    <t xml:space="preserve">SRA-1 B phase 3                                         </t>
  </si>
  <si>
    <t xml:space="preserve">SRA-1 B phase 4                                         </t>
  </si>
  <si>
    <t xml:space="preserve">SRA-1 B phase 5                                         </t>
  </si>
  <si>
    <t xml:space="preserve">SRA-1 B phase 6                                         </t>
  </si>
  <si>
    <t xml:space="preserve">SRA-1 B phase 7                                         </t>
  </si>
  <si>
    <t xml:space="preserve">F2_Z1 1                                                 </t>
  </si>
  <si>
    <t xml:space="preserve">F2_Z1 2                                                 </t>
  </si>
  <si>
    <t xml:space="preserve">F2_Z1 3                                                 </t>
  </si>
  <si>
    <t xml:space="preserve">F2_Z1 4                                                 </t>
  </si>
  <si>
    <t xml:space="preserve">F2_Z1 5                                                 </t>
  </si>
  <si>
    <t xml:space="preserve">F2_Z2 6                                                 </t>
  </si>
  <si>
    <t xml:space="preserve">F2_Z2 7                                                 </t>
  </si>
  <si>
    <t xml:space="preserve">F2_Z2 8                                                 </t>
  </si>
  <si>
    <t xml:space="preserve">F2_Z2 9                                                 </t>
  </si>
  <si>
    <t xml:space="preserve">F2_Z4 10                                                </t>
  </si>
  <si>
    <t xml:space="preserve">F2_Z4 11                                                </t>
  </si>
  <si>
    <t xml:space="preserve">F2_Z4 12                                                </t>
  </si>
  <si>
    <t xml:space="preserve">F2_Z4 13                                                </t>
  </si>
  <si>
    <t xml:space="preserve">F2_Z3 14                                                </t>
  </si>
  <si>
    <t xml:space="preserve">F2_Z3 15                                                </t>
  </si>
  <si>
    <t xml:space="preserve">F2_Z3 16                                                </t>
  </si>
  <si>
    <t xml:space="preserve">F2_Z3 17                                                </t>
  </si>
  <si>
    <t xml:space="preserve">F2_Z5 18                                                </t>
  </si>
  <si>
    <t xml:space="preserve">F2_Z5 19 alt                                            </t>
  </si>
  <si>
    <t xml:space="preserve">F2_Z5 20                                                </t>
  </si>
  <si>
    <t xml:space="preserve">F2_Z5 21                                                </t>
  </si>
  <si>
    <t xml:space="preserve">F5_Z1 22                                                </t>
  </si>
  <si>
    <t xml:space="preserve">F5_Z1 23                                                </t>
  </si>
  <si>
    <t xml:space="preserve">F5_Z1 24                                                </t>
  </si>
  <si>
    <t xml:space="preserve">F5_Z1 25                                                </t>
  </si>
  <si>
    <t xml:space="preserve">F5_Z3 26                                                </t>
  </si>
  <si>
    <t xml:space="preserve">F5_Z3 27                                                </t>
  </si>
  <si>
    <t xml:space="preserve">F5_Z3 28                                                </t>
  </si>
  <si>
    <t xml:space="preserve">F5_Z3 29                                                </t>
  </si>
  <si>
    <t xml:space="preserve">F5_Z3 30                                                </t>
  </si>
  <si>
    <t xml:space="preserve">F5_Z2 31                                                </t>
  </si>
  <si>
    <t xml:space="preserve">F5_Z2 32                                                </t>
  </si>
  <si>
    <t xml:space="preserve">F5_Z2 33                                                </t>
  </si>
  <si>
    <t xml:space="preserve">F5_Z2 34                                                </t>
  </si>
  <si>
    <t xml:space="preserve">F5_Z5 35                                                </t>
  </si>
  <si>
    <t xml:space="preserve">F5_Z5 36                                                </t>
  </si>
  <si>
    <t xml:space="preserve">F5_Z5 37                                                </t>
  </si>
  <si>
    <t xml:space="preserve">F5_Z5 38                                                </t>
  </si>
  <si>
    <t xml:space="preserve">F5_Z5 39                                                </t>
  </si>
  <si>
    <t xml:space="preserve">F5_Z5 40                                                </t>
  </si>
  <si>
    <t xml:space="preserve">F5_Z4 41                                                </t>
  </si>
  <si>
    <t xml:space="preserve">F5_Z4 42                                                </t>
  </si>
  <si>
    <t xml:space="preserve">F5_Z4 43                                                </t>
  </si>
  <si>
    <t xml:space="preserve">F5_Z4 44                                                </t>
  </si>
  <si>
    <t xml:space="preserve">F4_Z3 45                                                </t>
  </si>
  <si>
    <t xml:space="preserve">F4_Z3 46                                                </t>
  </si>
  <si>
    <t xml:space="preserve">F4_Z4 47                                                </t>
  </si>
  <si>
    <t xml:space="preserve">F4_Z4 48                                                </t>
  </si>
  <si>
    <t xml:space="preserve">F4_Z2 49                                                </t>
  </si>
  <si>
    <t xml:space="preserve">F4_Z2 50                                                </t>
  </si>
  <si>
    <t xml:space="preserve">F4_Z2 51                                                </t>
  </si>
  <si>
    <t xml:space="preserve">F4_Z2 52                                                </t>
  </si>
  <si>
    <t xml:space="preserve">F4_Z2 53                                                </t>
  </si>
  <si>
    <t xml:space="preserve">F4_Z6 54                                                </t>
  </si>
  <si>
    <t xml:space="preserve">F4_Z6 55                                                </t>
  </si>
  <si>
    <t xml:space="preserve">F4_Z1 56                                                </t>
  </si>
  <si>
    <t xml:space="preserve">F4_Z1 57                                                </t>
  </si>
  <si>
    <t xml:space="preserve">F4_Z1 58                                                </t>
  </si>
  <si>
    <t xml:space="preserve">F4_Z1 59                                                </t>
  </si>
  <si>
    <t xml:space="preserve">F4_Z1 60                                                </t>
  </si>
  <si>
    <t xml:space="preserve">F6_Z1 61                                                </t>
  </si>
  <si>
    <t xml:space="preserve">F6_Z1 62                                                </t>
  </si>
  <si>
    <t xml:space="preserve">F6_Z1 63                                                </t>
  </si>
  <si>
    <t xml:space="preserve">F6_Z2 64                                                </t>
  </si>
  <si>
    <t xml:space="preserve">F6_Z2 65                                                </t>
  </si>
  <si>
    <t xml:space="preserve">F6_Z3 66                                                </t>
  </si>
  <si>
    <t xml:space="preserve">F6_Z3 67                                                </t>
  </si>
  <si>
    <t xml:space="preserve">F6_Z3 68                                                </t>
  </si>
  <si>
    <t xml:space="preserve">F6_Z3 69                                                </t>
  </si>
  <si>
    <t xml:space="preserve">F6_Z3 70                                                </t>
  </si>
  <si>
    <t xml:space="preserve">F6_Z3 71                                                </t>
  </si>
  <si>
    <t xml:space="preserve">F6_Z3 72                                                </t>
  </si>
  <si>
    <t xml:space="preserve">F6_Z3 73                                                </t>
  </si>
  <si>
    <t xml:space="preserve">F6_Z4 74                                                </t>
  </si>
  <si>
    <t xml:space="preserve">F6_Z4 75                                                </t>
  </si>
  <si>
    <t xml:space="preserve">F6_Z4 76                                                </t>
  </si>
  <si>
    <t xml:space="preserve">F6_Z4 77                                                </t>
  </si>
  <si>
    <t xml:space="preserve">F7_Z4 1                                                 </t>
  </si>
  <si>
    <t xml:space="preserve">F7_Z4 2                                                 </t>
  </si>
  <si>
    <t xml:space="preserve">F7_Z4 3                                                 </t>
  </si>
  <si>
    <t xml:space="preserve">F7_Z4 4                                                 </t>
  </si>
  <si>
    <t xml:space="preserve">F7_Z4 5                                                 </t>
  </si>
  <si>
    <t xml:space="preserve">F7_Z3 6                                                 </t>
  </si>
  <si>
    <t xml:space="preserve">F7_Z3 7                                                 </t>
  </si>
  <si>
    <t xml:space="preserve">F7_Z3 8                                                 </t>
  </si>
  <si>
    <t xml:space="preserve">F7_Z3 9                                                 </t>
  </si>
  <si>
    <t xml:space="preserve">F7_Z5 10                                                </t>
  </si>
  <si>
    <t xml:space="preserve">F7_Z5 11                                                </t>
  </si>
  <si>
    <t xml:space="preserve">F11_Z2 12                                               </t>
  </si>
  <si>
    <t xml:space="preserve">F11_Z2 13                                               </t>
  </si>
  <si>
    <t xml:space="preserve">F11_Z2 14                                               </t>
  </si>
  <si>
    <t xml:space="preserve">F11_Z2 15                                               </t>
  </si>
  <si>
    <t xml:space="preserve">F11_Z2 16                                               </t>
  </si>
  <si>
    <t xml:space="preserve">F11_Z2 17                                               </t>
  </si>
  <si>
    <t xml:space="preserve">F11_Z2 18                                               </t>
  </si>
  <si>
    <t xml:space="preserve">F11_Z1 19                                               </t>
  </si>
  <si>
    <t xml:space="preserve">F11_Z1 20                                               </t>
  </si>
  <si>
    <t xml:space="preserve">F11_Z1 21                                               </t>
  </si>
  <si>
    <t xml:space="preserve">F11_Z1 22                                               </t>
  </si>
  <si>
    <t xml:space="preserve">F11_Z1 23                                               </t>
  </si>
  <si>
    <t xml:space="preserve">F11_Z1 24                                               </t>
  </si>
  <si>
    <t xml:space="preserve">F11_Z1 25                                               </t>
  </si>
  <si>
    <t xml:space="preserve">F11_Z3 26                                               </t>
  </si>
  <si>
    <t xml:space="preserve">F11_Z3 27                                               </t>
  </si>
  <si>
    <t xml:space="preserve">F19_Z1 28                                               </t>
  </si>
  <si>
    <t xml:space="preserve">F19_Z1 29                                               </t>
  </si>
  <si>
    <t xml:space="preserve">F19_Z1 30                                               </t>
  </si>
  <si>
    <t xml:space="preserve">F19_Z3 31                                               </t>
  </si>
  <si>
    <t xml:space="preserve">F19_Z3 32                                               </t>
  </si>
  <si>
    <t xml:space="preserve">F19_Z4 33                                               </t>
  </si>
  <si>
    <t xml:space="preserve">F18_Z1 34                                               </t>
  </si>
  <si>
    <t xml:space="preserve">F18_Z2 35                                               </t>
  </si>
  <si>
    <t xml:space="preserve">F18_Z2 36                                               </t>
  </si>
  <si>
    <t xml:space="preserve">F18_Z2 37                                               </t>
  </si>
  <si>
    <t xml:space="preserve">F18_Z3 38                                               </t>
  </si>
  <si>
    <t xml:space="preserve">F18_Z3 39                                               </t>
  </si>
  <si>
    <t>Lu</t>
  </si>
  <si>
    <t>Sr</t>
  </si>
  <si>
    <t>S</t>
  </si>
  <si>
    <t>Ba</t>
  </si>
  <si>
    <t>Sn</t>
  </si>
  <si>
    <t>11 KM 98 22,05-22,10</t>
  </si>
  <si>
    <t>AF15 R1</t>
  </si>
  <si>
    <t>AF15 R2</t>
  </si>
  <si>
    <t>AF15 R3</t>
  </si>
  <si>
    <t>AF15 R4</t>
  </si>
  <si>
    <t>AF15 R5a</t>
  </si>
  <si>
    <t>AF15 R5b</t>
  </si>
  <si>
    <t>AF15 R5c</t>
  </si>
  <si>
    <t>AF15 V1</t>
  </si>
  <si>
    <t>AF15 V2</t>
  </si>
  <si>
    <t>AF15 V3</t>
  </si>
  <si>
    <t>AF15 V3b</t>
  </si>
  <si>
    <t>AF15 V4</t>
  </si>
  <si>
    <t>AF15 V6</t>
  </si>
  <si>
    <t>AF8 R10</t>
  </si>
  <si>
    <t>AF8 R9</t>
  </si>
  <si>
    <t>AF8 R9b</t>
  </si>
  <si>
    <t>AF8 R8</t>
  </si>
  <si>
    <t>AF8 R8b</t>
  </si>
  <si>
    <t>AF8 R7</t>
  </si>
  <si>
    <t>AF8 R7b</t>
  </si>
  <si>
    <t>AF8 R7c</t>
  </si>
  <si>
    <t>AF8 R6</t>
  </si>
  <si>
    <t>AF8 R6b</t>
  </si>
  <si>
    <t>AF8 R5</t>
  </si>
  <si>
    <t>AF8 R5b</t>
  </si>
  <si>
    <t>AF8 R4</t>
  </si>
  <si>
    <t>AF8 R4b</t>
  </si>
  <si>
    <t>AF8 R3</t>
  </si>
  <si>
    <t>AF8 R3b</t>
  </si>
  <si>
    <t>AF8 R2</t>
  </si>
  <si>
    <t>AF8 R2b</t>
  </si>
  <si>
    <t>AF8 R1</t>
  </si>
  <si>
    <t>AF8 R1b</t>
  </si>
  <si>
    <t>AF8 R1c</t>
  </si>
  <si>
    <t>AF8 R1d</t>
  </si>
  <si>
    <t>11KM98 R</t>
  </si>
  <si>
    <t>11KM98 R1b</t>
  </si>
  <si>
    <t>11KM98 R2</t>
  </si>
  <si>
    <t>11KM98 R2b</t>
  </si>
  <si>
    <t>11KM98 R2c</t>
  </si>
  <si>
    <t>11KM98 R3</t>
  </si>
  <si>
    <t>11KM98 R3b</t>
  </si>
  <si>
    <t>11KM98 R3c</t>
  </si>
  <si>
    <t>11KM98 R4</t>
  </si>
  <si>
    <t>11KM98 R4b</t>
  </si>
  <si>
    <t>11KM98 R5</t>
  </si>
  <si>
    <t>11KM98 R5b</t>
  </si>
  <si>
    <t>11KM98 R5c</t>
  </si>
  <si>
    <t>11KM98 R6</t>
  </si>
  <si>
    <t>11KM98 R6b</t>
  </si>
  <si>
    <t>11KM98 R7</t>
  </si>
  <si>
    <t>11KM98 R7b</t>
  </si>
  <si>
    <t>11KM98 B1</t>
  </si>
  <si>
    <t>11KM98 B2</t>
  </si>
  <si>
    <t>11KM98 B3</t>
  </si>
  <si>
    <t>11KM98 B3b</t>
  </si>
  <si>
    <t>11KM98 B3c</t>
  </si>
  <si>
    <t>11KM98 B4</t>
  </si>
  <si>
    <t>11KM98 B4b</t>
  </si>
  <si>
    <t>11KM98 B5</t>
  </si>
  <si>
    <t>11KM98 B5b</t>
  </si>
  <si>
    <t>11KM98 B6</t>
  </si>
  <si>
    <t>11KM98 B6b</t>
  </si>
  <si>
    <t>11KM98 B6c</t>
  </si>
  <si>
    <t>11KM98 B7</t>
  </si>
  <si>
    <t>11KM98 B7b</t>
  </si>
  <si>
    <t>11KM98 B8</t>
  </si>
  <si>
    <t>11KM98 B9</t>
  </si>
  <si>
    <t>11KM98 B9b</t>
  </si>
  <si>
    <t>11KM98 B9c</t>
  </si>
  <si>
    <t>11KM98 B9d</t>
  </si>
  <si>
    <t>11KM98 B9e</t>
  </si>
  <si>
    <t xml:space="preserve">K </t>
  </si>
  <si>
    <t xml:space="preserve">F </t>
  </si>
  <si>
    <t>12 KM 127 42,00-43,10</t>
  </si>
  <si>
    <t>12 KM 127 44,10-44,90</t>
  </si>
  <si>
    <t>12 KM 127 30,58-31,47</t>
  </si>
  <si>
    <t xml:space="preserve">SRA-3 E-1                                               </t>
  </si>
  <si>
    <t xml:space="preserve">SRA-3 E-2                                               </t>
  </si>
  <si>
    <t xml:space="preserve">SRA-3 E-3                                               </t>
  </si>
  <si>
    <t xml:space="preserve">SRA-3 E-4                                               </t>
  </si>
  <si>
    <t xml:space="preserve">SRA-3 C-1                                               </t>
  </si>
  <si>
    <t xml:space="preserve">SRA-3 C-2                                               </t>
  </si>
  <si>
    <t xml:space="preserve">SRA-3 C-3                                               </t>
  </si>
  <si>
    <t xml:space="preserve">SRA-3 C-4                                               </t>
  </si>
  <si>
    <t xml:space="preserve">SRA-3 C-5                                               </t>
  </si>
  <si>
    <t xml:space="preserve">SRA-3 C-6                                               </t>
  </si>
  <si>
    <t xml:space="preserve">SRA-3 C-7                                               </t>
  </si>
  <si>
    <t xml:space="preserve">SRA-3 B-1                                               </t>
  </si>
  <si>
    <t xml:space="preserve">SRA-4 A-1                                               </t>
  </si>
  <si>
    <t xml:space="preserve">SRA-4 A-2                                               </t>
  </si>
  <si>
    <t xml:space="preserve">SRA-4 A-3                                               </t>
  </si>
  <si>
    <t xml:space="preserve">SRA-4 A-4                                               </t>
  </si>
  <si>
    <t xml:space="preserve">SRA-4 B-1                                               </t>
  </si>
  <si>
    <t xml:space="preserve">SRA-4 B-2                                               </t>
  </si>
  <si>
    <t xml:space="preserve">SRA-4 B-3                                               </t>
  </si>
  <si>
    <t xml:space="preserve">SRA-4 B-4                                               </t>
  </si>
  <si>
    <t xml:space="preserve">SRA-4 B-5                                               </t>
  </si>
  <si>
    <t xml:space="preserve">SRA-4 B-6                                               </t>
  </si>
  <si>
    <t xml:space="preserve">SRA-4 B-7                                               </t>
  </si>
  <si>
    <t xml:space="preserve">SRA-4 C-1                                               </t>
  </si>
  <si>
    <t xml:space="preserve">SRA-4 C-2                                               </t>
  </si>
  <si>
    <t xml:space="preserve">SRA-4 C-3                                               </t>
  </si>
  <si>
    <t xml:space="preserve">SRA-4 C-4                                               </t>
  </si>
  <si>
    <t xml:space="preserve">SRA-4 D-1                                               </t>
  </si>
  <si>
    <t xml:space="preserve">SRA-4 D-2                                               </t>
  </si>
  <si>
    <t xml:space="preserve">SRA-4 D-3                                               </t>
  </si>
  <si>
    <t xml:space="preserve">SRA-4 E-1                                               </t>
  </si>
  <si>
    <t xml:space="preserve">SRA-4 E-2                                               </t>
  </si>
  <si>
    <t xml:space="preserve">SRA-4 E-3                                               </t>
  </si>
  <si>
    <t xml:space="preserve">SRA-11A A-1                                             </t>
  </si>
  <si>
    <t xml:space="preserve">SRA-11A A-2                                             </t>
  </si>
  <si>
    <t xml:space="preserve">SRA-11A A-3                                             </t>
  </si>
  <si>
    <t xml:space="preserve">SRA-11A A-4                                             </t>
  </si>
  <si>
    <t xml:space="preserve">SRA-11A A-5                                             </t>
  </si>
  <si>
    <t xml:space="preserve">SRA-11A A-6                                             </t>
  </si>
  <si>
    <t xml:space="preserve">SRA-11A C-1                                             </t>
  </si>
  <si>
    <t xml:space="preserve">SRA-11A C-2                                             </t>
  </si>
  <si>
    <t xml:space="preserve">SRA-11A C-3                                             </t>
  </si>
  <si>
    <t xml:space="preserve">SRA-11A C-4                                             </t>
  </si>
  <si>
    <t xml:space="preserve">SRA-11A C-5                                             </t>
  </si>
  <si>
    <t xml:space="preserve">SRA-11A C-6                                             </t>
  </si>
  <si>
    <t xml:space="preserve">SRA-11A B-1                                             </t>
  </si>
  <si>
    <t xml:space="preserve">SRA-11A B-2                                             </t>
  </si>
  <si>
    <t xml:space="preserve">SRA-11A B-3                                             </t>
  </si>
  <si>
    <t xml:space="preserve">SRA-11A B-4                                             </t>
  </si>
  <si>
    <t xml:space="preserve">SRA-11A B-5                                             </t>
  </si>
  <si>
    <t xml:space="preserve">SRA-11A D-1                                             </t>
  </si>
  <si>
    <t xml:space="preserve">SRA-11A D-2                                             </t>
  </si>
  <si>
    <t xml:space="preserve">SRA-11A D-3                                             </t>
  </si>
  <si>
    <t xml:space="preserve">SRA-11A D-4                                             </t>
  </si>
  <si>
    <t xml:space="preserve">SRA-11A D-5                                             </t>
  </si>
  <si>
    <t xml:space="preserve">SRA-7A A-1                                              </t>
  </si>
  <si>
    <t xml:space="preserve">SRA-7A A-2                                              </t>
  </si>
  <si>
    <t xml:space="preserve">SRA-7A A-3                                              </t>
  </si>
  <si>
    <t xml:space="preserve">SRA-7A A-4                                              </t>
  </si>
  <si>
    <t xml:space="preserve">SRA-7A A-5                                              </t>
  </si>
  <si>
    <t xml:space="preserve">SRA-7A A-6                                              </t>
  </si>
  <si>
    <t xml:space="preserve">SRA-7A B-1                                              </t>
  </si>
  <si>
    <t xml:space="preserve">SRA-7A B-2                                              </t>
  </si>
  <si>
    <t xml:space="preserve">SRA-7A B-3                                              </t>
  </si>
  <si>
    <t xml:space="preserve">SRA-7A C-1                                              </t>
  </si>
  <si>
    <t xml:space="preserve">SRA-7A C-2                                              </t>
  </si>
  <si>
    <t xml:space="preserve">SRA-7A C-3                                              </t>
  </si>
  <si>
    <t xml:space="preserve">SRA-7A C-4                                              </t>
  </si>
  <si>
    <t xml:space="preserve">SRA-7A D-1                                              </t>
  </si>
  <si>
    <t xml:space="preserve">SRA-7A D-2                                              </t>
  </si>
  <si>
    <t xml:space="preserve">SRA6 A-1                                                </t>
  </si>
  <si>
    <t xml:space="preserve">SRA6 A-2                                                </t>
  </si>
  <si>
    <t xml:space="preserve">SRA6 A-3                                                </t>
  </si>
  <si>
    <t xml:space="preserve">SRA6 A-4                                                </t>
  </si>
  <si>
    <t xml:space="preserve">SRA6 A-5                                                </t>
  </si>
  <si>
    <t xml:space="preserve">SRA6 A-6                                                </t>
  </si>
  <si>
    <t xml:space="preserve">SRA6 A-7                                                </t>
  </si>
  <si>
    <t xml:space="preserve">SRA6 A-8                                                </t>
  </si>
  <si>
    <t xml:space="preserve">SRA6 C-1                                                </t>
  </si>
  <si>
    <t xml:space="preserve">SRA6 C-2                                                </t>
  </si>
  <si>
    <t xml:space="preserve">SRA6 C-3                                                </t>
  </si>
  <si>
    <t xml:space="preserve">SRA6 C-4                                                </t>
  </si>
  <si>
    <t xml:space="preserve">SRA6 C-5                                                </t>
  </si>
  <si>
    <t xml:space="preserve">SRA6 B-1                                                </t>
  </si>
  <si>
    <t xml:space="preserve">SRA6 B-2                                                </t>
  </si>
  <si>
    <t xml:space="preserve">SRA6 B-3                                                </t>
  </si>
  <si>
    <t xml:space="preserve">SRA6 D-1                                                </t>
  </si>
  <si>
    <t xml:space="preserve">SRA6 D-2                                                </t>
  </si>
  <si>
    <t xml:space="preserve">SRA7B A-1                                               </t>
  </si>
  <si>
    <t xml:space="preserve">SRA7B A-2                                               </t>
  </si>
  <si>
    <t xml:space="preserve">SRA7B A-3                                               </t>
  </si>
  <si>
    <t xml:space="preserve">SRA7B A-4                                               </t>
  </si>
  <si>
    <t xml:space="preserve">SRA7B B-1                                               </t>
  </si>
  <si>
    <t xml:space="preserve">SRA7B B-2                                               </t>
  </si>
  <si>
    <t xml:space="preserve">SRA7B B-3                                               </t>
  </si>
  <si>
    <t xml:space="preserve">SRA7B B-4                                               </t>
  </si>
  <si>
    <t xml:space="preserve">SRA7B B-5                                               </t>
  </si>
  <si>
    <t xml:space="preserve">SRA7B C-1                                               </t>
  </si>
  <si>
    <t xml:space="preserve">SRA7B C-2                                               </t>
  </si>
  <si>
    <t xml:space="preserve">SRA7B D-1                                               </t>
  </si>
  <si>
    <t xml:space="preserve">SRA7B D-2                                               </t>
  </si>
  <si>
    <t xml:space="preserve">SRA9 A-1                                                </t>
  </si>
  <si>
    <t xml:space="preserve">SRA9 A-2                                                </t>
  </si>
  <si>
    <t xml:space="preserve">SRA9 A-3                                                </t>
  </si>
  <si>
    <t xml:space="preserve">SRA9 A-4                                                </t>
  </si>
  <si>
    <t xml:space="preserve">SRA9 B-1                                                </t>
  </si>
  <si>
    <t xml:space="preserve">SRA9 B-2                                                </t>
  </si>
  <si>
    <t xml:space="preserve">SRA9 B-3                                                </t>
  </si>
  <si>
    <t xml:space="preserve">SRA9 B-4                                                </t>
  </si>
  <si>
    <t xml:space="preserve">SRA9 B-5                                                </t>
  </si>
  <si>
    <t xml:space="preserve">SRA9 C-1                                                </t>
  </si>
  <si>
    <t xml:space="preserve">SRA9 C-2                                                </t>
  </si>
  <si>
    <t xml:space="preserve">SRA9 C-3                                                </t>
  </si>
  <si>
    <t xml:space="preserve">SRA9 D-1                                                </t>
  </si>
  <si>
    <t xml:space="preserve">SRA9 D-2                                                </t>
  </si>
  <si>
    <t xml:space="preserve">SRA9 D-3                                                </t>
  </si>
  <si>
    <t xml:space="preserve">SRA9 D-4                                                </t>
  </si>
  <si>
    <t xml:space="preserve">SRA8 C-1                                                </t>
  </si>
  <si>
    <t xml:space="preserve">SRA8 C-2                                                </t>
  </si>
  <si>
    <t xml:space="preserve">SRA8 C-3                                                </t>
  </si>
  <si>
    <t xml:space="preserve">SRA8 A-1                                                </t>
  </si>
  <si>
    <t xml:space="preserve">SRA8 A-2                                                </t>
  </si>
  <si>
    <t xml:space="preserve">SRA8 A-3                                                </t>
  </si>
  <si>
    <t xml:space="preserve">SRA8 A-4                                                </t>
  </si>
  <si>
    <t xml:space="preserve">SRA8 B-1                                                </t>
  </si>
  <si>
    <t xml:space="preserve">SRA8 B-2                                                </t>
  </si>
  <si>
    <t xml:space="preserve">SRA8 B-3                                                </t>
  </si>
  <si>
    <t xml:space="preserve">SRA8 B-4                                                </t>
  </si>
  <si>
    <t xml:space="preserve">SRA8 B-5                                                </t>
  </si>
  <si>
    <t xml:space="preserve">SRA8 D-1                                                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</si>
  <si>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</si>
  <si>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</si>
  <si>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</si>
  <si>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</si>
  <si>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</si>
  <si>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</si>
  <si>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</si>
  <si>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</si>
  <si>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</si>
  <si>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</si>
  <si>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</si>
  <si>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</si>
  <si>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</si>
  <si>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</si>
  <si>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</si>
  <si>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</si>
  <si>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</si>
  <si>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</si>
  <si>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</si>
  <si>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</si>
  <si>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</si>
  <si>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</si>
  <si>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</si>
  <si>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</si>
  <si>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</si>
  <si>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</si>
  <si>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</si>
  <si>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</si>
  <si>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</si>
  <si>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</si>
  <si>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</si>
  <si>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</si>
  <si>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</si>
  <si>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</si>
  <si>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</si>
  <si>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</si>
  <si>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</si>
  <si>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</si>
  <si>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</si>
  <si>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</si>
  <si>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</si>
  <si>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</si>
  <si>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</si>
  <si>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</si>
  <si>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</si>
  <si>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</si>
  <si>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</si>
  <si>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</si>
  <si>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</si>
  <si>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</si>
  <si>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</si>
  <si>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</si>
  <si>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</si>
  <si>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</si>
  <si>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</si>
  <si>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</si>
  <si>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</si>
  <si>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</si>
  <si>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</si>
  <si>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</si>
  <si>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</si>
  <si>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</si>
  <si>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</si>
  <si>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</si>
  <si>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</si>
  <si>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</si>
  <si>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</si>
  <si>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</si>
  <si>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</si>
  <si>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</si>
  <si>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</si>
  <si>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</si>
  <si>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</si>
  <si>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</si>
  <si>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</si>
  <si>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</si>
  <si>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</si>
  <si>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</si>
  <si>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</si>
  <si>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</si>
  <si>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</si>
  <si>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</si>
  <si>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</si>
  <si>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</si>
  <si>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</si>
  <si>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</si>
  <si>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</si>
  <si>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</si>
  <si>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</si>
  <si>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</si>
  <si>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</si>
  <si>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</si>
  <si>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</si>
  <si>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</si>
  <si>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</si>
  <si>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</si>
  <si>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</si>
  <si>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</si>
  <si>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</si>
  <si>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</si>
  <si>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</si>
  <si>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</si>
  <si>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</si>
  <si>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</si>
  <si>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</si>
  <si>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</si>
  <si>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</si>
  <si>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</si>
  <si>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</si>
  <si>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</si>
  <si>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</si>
  <si>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</si>
  <si>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</si>
  <si>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</si>
  <si>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</si>
  <si>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</si>
  <si>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</si>
  <si>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</si>
  <si>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</si>
  <si>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</si>
  <si>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</si>
  <si>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</si>
  <si>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</si>
  <si>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</si>
  <si>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</si>
  <si>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</si>
  <si>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</si>
  <si>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</si>
  <si>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</si>
  <si>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</si>
  <si>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</si>
  <si>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</si>
  <si>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</si>
  <si>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</si>
  <si>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</si>
  <si>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</si>
  <si>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</si>
  <si>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</si>
  <si>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</si>
  <si>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</si>
  <si>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TABLE D1. DETECTION LIMITS OF 2009 MICROPROBE ANALYSIS, IN WT. % ELEMENTS</t>
  </si>
  <si>
    <t>TABLE D2. DETECTION LIMITS OF 03-02-2010 MICROPROBE ANALYSIS, IN WT. % ELEMENTS</t>
  </si>
  <si>
    <t>TABLE D3. DETECTION LIMITS OF 04-16-2010 MICROPROBE ANALYSIS, IN WT. % ELEMENTS</t>
  </si>
  <si>
    <t>TABLE D4. DETECTION LIMITS OF 04-21-2010 MICROPROBE ANALYSIS, IN WT. % ELEMENTS</t>
  </si>
  <si>
    <t>TABLE D5. DETECTION LIMITS OF 02-07-2012 MICROPROBE ANALYSIS, IN WT. % ELEMENTS</t>
  </si>
  <si>
    <t>TABLE D6. DETECTION LIMITS OF 02-08-2012 MICROPROBE ANALYSIS, IN WT. % ELEMENTS</t>
  </si>
  <si>
    <t>TABLE D7. DETECTION LIMITS OF 06-19-2018 MICROPROBE ANALYSIS, IN WT. % ELEMENTS</t>
  </si>
  <si>
    <t>TABLE D8. DETECTION LIMITS OF 07-25-2018 MICROPROBE ANALYSIS, IN WT. % ELEMENTS</t>
  </si>
  <si>
    <t>TABLE D9. DETECTION LIMITS OF 09-25-2019 MICROPROBE ANALYSIS, IN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</si>
</sst>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left"/>
    </xf>
    <xf numFmtId="165" fontId="1" fillId="0" borderId="1" xfId="1" applyNumberFormat="1" applyBorder="1"/>
    <xf numFmtId="0" fontId="0" fillId="0" borderId="2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left" indent="1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0" applyNumberFormat="1" applyBorder="1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4" xfId="0" applyFill="1" applyBorder="1"/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DD584C1D-8709-4154-AB70-D5547BEF03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5"/>
  <sheetViews>
    <sheetView showGridLines="0" tabSelected="1" workbookViewId="0">
      <selection activeCell="A2" sqref="A2"/>
    </sheetView>
  </sheetViews>
  <sheetFormatPr baseColWidth="10" defaultColWidth="8.88671875" defaultRowHeight="14.4" x14ac:dyDescent="0.3"/>
  <sheetData>
    <row r="1" spans="1:80" s="37" customFormat="1" x14ac:dyDescent="0.3">
      <c r="A1" s="37" t="s">
        <v>877</v>
      </c>
    </row>
    <row r="4" spans="1:80" s="1" customFormat="1" x14ac:dyDescent="0.3"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6" t="s">
        <v>24</v>
      </c>
      <c r="Y4" s="6" t="s">
        <v>25</v>
      </c>
      <c r="Z4" s="6" t="s">
        <v>26</v>
      </c>
      <c r="AA4" s="6" t="s">
        <v>27</v>
      </c>
      <c r="AB4" s="6" t="s">
        <v>28</v>
      </c>
      <c r="AC4" s="6" t="s">
        <v>29</v>
      </c>
      <c r="AD4" s="6" t="s">
        <v>30</v>
      </c>
      <c r="AE4" s="6" t="s">
        <v>31</v>
      </c>
      <c r="AF4" s="6" t="s">
        <v>32</v>
      </c>
      <c r="AG4" s="6" t="s">
        <v>33</v>
      </c>
      <c r="AH4" s="6" t="s">
        <v>34</v>
      </c>
      <c r="AI4" s="6" t="s">
        <v>35</v>
      </c>
      <c r="AJ4" s="6" t="s">
        <v>36</v>
      </c>
      <c r="AK4" s="6" t="s">
        <v>37</v>
      </c>
      <c r="AL4" s="6" t="s">
        <v>38</v>
      </c>
      <c r="AM4" s="6" t="s">
        <v>39</v>
      </c>
      <c r="AN4" s="6" t="s">
        <v>40</v>
      </c>
      <c r="AO4" s="6" t="s">
        <v>41</v>
      </c>
      <c r="AP4" s="6" t="s">
        <v>42</v>
      </c>
      <c r="AQ4" s="6" t="s">
        <v>43</v>
      </c>
      <c r="AR4" s="6" t="s">
        <v>44</v>
      </c>
      <c r="AS4" s="6" t="s">
        <v>45</v>
      </c>
      <c r="AT4" s="6" t="s">
        <v>46</v>
      </c>
      <c r="AU4" s="6" t="s">
        <v>47</v>
      </c>
      <c r="AV4" s="6" t="s">
        <v>48</v>
      </c>
      <c r="AW4" s="6" t="s">
        <v>49</v>
      </c>
      <c r="AX4" s="6" t="s">
        <v>50</v>
      </c>
      <c r="AY4" s="6" t="s">
        <v>51</v>
      </c>
      <c r="AZ4" s="6" t="s">
        <v>52</v>
      </c>
      <c r="BA4" s="6" t="s">
        <v>53</v>
      </c>
      <c r="BB4" s="6" t="s">
        <v>54</v>
      </c>
      <c r="BC4" s="6" t="s">
        <v>55</v>
      </c>
      <c r="BD4" s="6" t="s">
        <v>56</v>
      </c>
      <c r="BE4" s="6" t="s">
        <v>57</v>
      </c>
      <c r="BF4" s="6" t="s">
        <v>58</v>
      </c>
      <c r="BG4" s="6" t="s">
        <v>59</v>
      </c>
      <c r="BH4" s="6" t="s">
        <v>60</v>
      </c>
      <c r="BI4" s="6" t="s">
        <v>61</v>
      </c>
      <c r="BJ4" s="6" t="s">
        <v>62</v>
      </c>
      <c r="BK4" s="6" t="s">
        <v>63</v>
      </c>
      <c r="BL4" s="6" t="s">
        <v>64</v>
      </c>
      <c r="BM4" s="6" t="s">
        <v>65</v>
      </c>
      <c r="BN4" s="6" t="s">
        <v>66</v>
      </c>
      <c r="BO4" s="6" t="s">
        <v>67</v>
      </c>
      <c r="BP4" s="6" t="s">
        <v>68</v>
      </c>
      <c r="BQ4" s="6" t="s">
        <v>69</v>
      </c>
      <c r="BR4" s="6" t="s">
        <v>70</v>
      </c>
      <c r="BS4" s="6" t="s">
        <v>71</v>
      </c>
      <c r="BT4" s="6" t="s">
        <v>72</v>
      </c>
      <c r="BU4" s="6" t="s">
        <v>73</v>
      </c>
      <c r="BV4" s="6" t="s">
        <v>74</v>
      </c>
      <c r="BW4" s="6" t="s">
        <v>75</v>
      </c>
      <c r="BX4" s="6" t="s">
        <v>76</v>
      </c>
      <c r="BY4" s="6" t="s">
        <v>77</v>
      </c>
      <c r="BZ4" s="6" t="s">
        <v>78</v>
      </c>
      <c r="CA4" s="6" t="s">
        <v>79</v>
      </c>
      <c r="CB4" s="6" t="s">
        <v>80</v>
      </c>
    </row>
    <row r="5" spans="1:80" s="4" customFormat="1" x14ac:dyDescent="0.3">
      <c r="B5" s="5" t="s">
        <v>81</v>
      </c>
      <c r="C5" s="5" t="s">
        <v>82</v>
      </c>
      <c r="D5" s="5" t="s">
        <v>83</v>
      </c>
      <c r="E5" s="5" t="s">
        <v>84</v>
      </c>
      <c r="F5" s="5" t="s">
        <v>85</v>
      </c>
      <c r="G5" s="5" t="s">
        <v>86</v>
      </c>
      <c r="H5" s="5" t="s">
        <v>87</v>
      </c>
      <c r="I5" s="5" t="s">
        <v>88</v>
      </c>
      <c r="J5" s="5" t="s">
        <v>89</v>
      </c>
      <c r="K5" s="5" t="s">
        <v>90</v>
      </c>
      <c r="L5" s="5" t="s">
        <v>91</v>
      </c>
      <c r="M5" s="5" t="s">
        <v>92</v>
      </c>
      <c r="N5" s="5" t="s">
        <v>93</v>
      </c>
      <c r="O5" s="5" t="s">
        <v>94</v>
      </c>
      <c r="P5" s="5" t="s">
        <v>95</v>
      </c>
      <c r="Q5" s="5" t="s">
        <v>96</v>
      </c>
      <c r="R5" s="5" t="s">
        <v>97</v>
      </c>
      <c r="S5" s="5" t="s">
        <v>98</v>
      </c>
      <c r="T5" s="5" t="s">
        <v>99</v>
      </c>
      <c r="U5" s="5" t="s">
        <v>100</v>
      </c>
      <c r="V5" s="5" t="s">
        <v>101</v>
      </c>
      <c r="W5" s="5" t="s">
        <v>102</v>
      </c>
      <c r="X5" s="5" t="s">
        <v>103</v>
      </c>
      <c r="Y5" s="5" t="s">
        <v>104</v>
      </c>
      <c r="Z5" s="5" t="s">
        <v>105</v>
      </c>
      <c r="AA5" s="5" t="s">
        <v>106</v>
      </c>
      <c r="AB5" s="5" t="s">
        <v>107</v>
      </c>
      <c r="AC5" s="5" t="s">
        <v>108</v>
      </c>
      <c r="AD5" s="5" t="s">
        <v>109</v>
      </c>
      <c r="AE5" s="5" t="s">
        <v>110</v>
      </c>
      <c r="AF5" s="5" t="s">
        <v>111</v>
      </c>
      <c r="AG5" s="5" t="s">
        <v>112</v>
      </c>
      <c r="AH5" s="5" t="s">
        <v>113</v>
      </c>
      <c r="AI5" s="5" t="s">
        <v>114</v>
      </c>
      <c r="AJ5" s="5" t="s">
        <v>115</v>
      </c>
      <c r="AK5" s="5" t="s">
        <v>116</v>
      </c>
      <c r="AL5" s="5" t="s">
        <v>117</v>
      </c>
      <c r="AM5" s="5" t="s">
        <v>118</v>
      </c>
      <c r="AN5" s="5" t="s">
        <v>119</v>
      </c>
      <c r="AO5" s="5" t="s">
        <v>120</v>
      </c>
      <c r="AP5" s="5" t="s">
        <v>121</v>
      </c>
      <c r="AQ5" s="5" t="s">
        <v>122</v>
      </c>
      <c r="AR5" s="5" t="s">
        <v>123</v>
      </c>
      <c r="AS5" s="5" t="s">
        <v>124</v>
      </c>
      <c r="AT5" s="5" t="s">
        <v>125</v>
      </c>
      <c r="AU5" s="5" t="s">
        <v>126</v>
      </c>
      <c r="AV5" s="5" t="s">
        <v>127</v>
      </c>
      <c r="AW5" s="5" t="s">
        <v>128</v>
      </c>
      <c r="AX5" s="5" t="s">
        <v>129</v>
      </c>
      <c r="AY5" s="5" t="s">
        <v>130</v>
      </c>
      <c r="AZ5" s="5" t="s">
        <v>131</v>
      </c>
      <c r="BA5" s="5" t="s">
        <v>132</v>
      </c>
      <c r="BB5" s="5" t="s">
        <v>133</v>
      </c>
      <c r="BC5" s="5" t="s">
        <v>134</v>
      </c>
      <c r="BD5" s="5" t="s">
        <v>135</v>
      </c>
      <c r="BE5" s="5" t="s">
        <v>136</v>
      </c>
      <c r="BF5" s="5" t="s">
        <v>137</v>
      </c>
      <c r="BG5" s="5" t="s">
        <v>138</v>
      </c>
      <c r="BH5" s="5" t="s">
        <v>139</v>
      </c>
      <c r="BI5" s="5" t="s">
        <v>140</v>
      </c>
      <c r="BJ5" s="5" t="s">
        <v>141</v>
      </c>
      <c r="BK5" s="5" t="s">
        <v>142</v>
      </c>
      <c r="BL5" s="5" t="s">
        <v>143</v>
      </c>
      <c r="BM5" s="5" t="s">
        <v>144</v>
      </c>
      <c r="BN5" s="5" t="s">
        <v>145</v>
      </c>
      <c r="BO5" s="5" t="s">
        <v>146</v>
      </c>
      <c r="BP5" s="5" t="s">
        <v>147</v>
      </c>
      <c r="BQ5" s="5" t="s">
        <v>148</v>
      </c>
      <c r="BR5" s="5" t="s">
        <v>149</v>
      </c>
      <c r="BS5" s="5" t="s">
        <v>150</v>
      </c>
      <c r="BT5" s="5" t="s">
        <v>151</v>
      </c>
      <c r="BU5" s="5" t="s">
        <v>152</v>
      </c>
      <c r="BV5" s="5" t="s">
        <v>153</v>
      </c>
      <c r="BW5" s="5" t="s">
        <v>154</v>
      </c>
      <c r="BX5" s="5" t="s">
        <v>155</v>
      </c>
      <c r="BY5" s="5" t="s">
        <v>156</v>
      </c>
      <c r="BZ5" s="5" t="s">
        <v>157</v>
      </c>
      <c r="CA5" s="5" t="s">
        <v>158</v>
      </c>
      <c r="CB5" s="5" t="s">
        <v>159</v>
      </c>
    </row>
    <row r="6" spans="1:80" x14ac:dyDescent="0.3">
      <c r="A6" s="7" t="s">
        <v>161</v>
      </c>
      <c r="B6" s="1">
        <v>1.46E-2</v>
      </c>
      <c r="C6" s="10">
        <v>1.5800000000000002E-2</v>
      </c>
      <c r="D6" s="10">
        <v>1.44E-2</v>
      </c>
      <c r="E6" s="10">
        <v>1.4E-2</v>
      </c>
      <c r="F6" s="10">
        <v>1.5699999999999999E-2</v>
      </c>
      <c r="G6" s="10">
        <v>1.5100000000000001E-2</v>
      </c>
      <c r="H6" s="10">
        <v>1.4200000000000001E-2</v>
      </c>
      <c r="I6" s="10">
        <v>1.35E-2</v>
      </c>
      <c r="J6" s="10">
        <v>1.49E-2</v>
      </c>
      <c r="K6" s="10">
        <v>1.44E-2</v>
      </c>
      <c r="L6" s="10">
        <v>1.47E-2</v>
      </c>
      <c r="M6" s="10">
        <v>1.38E-2</v>
      </c>
      <c r="N6" s="10">
        <v>1.4800000000000001E-2</v>
      </c>
      <c r="O6" s="10">
        <v>1.4999999999999999E-2</v>
      </c>
      <c r="P6" s="10">
        <v>1.47E-2</v>
      </c>
      <c r="Q6" s="10">
        <v>1.4200000000000001E-2</v>
      </c>
      <c r="R6" s="10">
        <v>1.4E-2</v>
      </c>
      <c r="S6" s="10">
        <v>1.46E-2</v>
      </c>
      <c r="T6" s="10">
        <v>1.4500000000000001E-2</v>
      </c>
      <c r="U6" s="10">
        <v>1.52E-2</v>
      </c>
      <c r="V6" s="10">
        <v>1.43E-2</v>
      </c>
      <c r="W6" s="10">
        <v>1.4500000000000001E-2</v>
      </c>
      <c r="X6" s="10">
        <v>1.47E-2</v>
      </c>
      <c r="Y6" s="10">
        <v>1.54E-2</v>
      </c>
      <c r="Z6" s="10">
        <v>1.4200000000000001E-2</v>
      </c>
      <c r="AA6" s="10">
        <v>1.44E-2</v>
      </c>
      <c r="AB6" s="10">
        <v>1.4800000000000001E-2</v>
      </c>
      <c r="AC6" s="10">
        <v>1.44E-2</v>
      </c>
      <c r="AD6" s="10">
        <v>1.4800000000000001E-2</v>
      </c>
      <c r="AE6" s="10">
        <v>1.41E-2</v>
      </c>
      <c r="AF6" s="10">
        <v>1.5699999999999999E-2</v>
      </c>
      <c r="AG6" s="10">
        <v>1.4200000000000001E-2</v>
      </c>
      <c r="AH6" s="10">
        <v>1.4999999999999999E-2</v>
      </c>
      <c r="AI6" s="10">
        <v>1.5299999999999999E-2</v>
      </c>
      <c r="AJ6" s="10">
        <v>1.41E-2</v>
      </c>
      <c r="AK6" s="10">
        <v>1.4800000000000001E-2</v>
      </c>
      <c r="AL6" s="10">
        <v>1.44E-2</v>
      </c>
      <c r="AM6" s="10">
        <v>1.55E-2</v>
      </c>
      <c r="AN6" s="10">
        <v>1.5299999999999999E-2</v>
      </c>
      <c r="AO6" s="10">
        <v>1.5299999999999999E-2</v>
      </c>
      <c r="AP6" s="10">
        <v>1.5100000000000001E-2</v>
      </c>
      <c r="AQ6" s="10">
        <v>1.44E-2</v>
      </c>
      <c r="AR6" s="10">
        <v>1.4500000000000001E-2</v>
      </c>
      <c r="AS6" s="10">
        <v>1.43E-2</v>
      </c>
      <c r="AT6" s="10">
        <v>1.47E-2</v>
      </c>
      <c r="AU6" s="10">
        <v>1.5699999999999999E-2</v>
      </c>
      <c r="AV6" s="10">
        <v>1.55E-2</v>
      </c>
      <c r="AW6" s="10">
        <v>1.54E-2</v>
      </c>
      <c r="AX6" s="10">
        <v>1.49E-2</v>
      </c>
      <c r="AY6" s="10">
        <v>1.52E-2</v>
      </c>
      <c r="AZ6" s="10">
        <v>1.49E-2</v>
      </c>
      <c r="BA6" s="10">
        <v>1.3899999999999999E-2</v>
      </c>
      <c r="BB6" s="10">
        <v>1.4500000000000001E-2</v>
      </c>
      <c r="BC6" s="10">
        <v>1.4200000000000001E-2</v>
      </c>
      <c r="BD6" s="10">
        <v>1.41E-2</v>
      </c>
      <c r="BE6" s="10">
        <v>1.4E-2</v>
      </c>
      <c r="BF6" s="10">
        <v>0</v>
      </c>
      <c r="BG6" s="10">
        <v>1.46E-2</v>
      </c>
      <c r="BH6" s="10">
        <v>1.3599999999999999E-2</v>
      </c>
      <c r="BI6" s="10">
        <v>1.5599999999999999E-2</v>
      </c>
      <c r="BJ6" s="10">
        <v>1.46E-2</v>
      </c>
      <c r="BK6" s="10">
        <v>1.49E-2</v>
      </c>
      <c r="BL6" s="10">
        <v>1.49E-2</v>
      </c>
      <c r="BM6" s="10">
        <v>1.5800000000000002E-2</v>
      </c>
      <c r="BN6" s="10">
        <v>1.47E-2</v>
      </c>
      <c r="BO6" s="10">
        <v>1.46E-2</v>
      </c>
      <c r="BP6" s="10">
        <v>1.4999999999999999E-2</v>
      </c>
      <c r="BQ6" s="10">
        <v>1.5100000000000001E-2</v>
      </c>
      <c r="BR6" s="10">
        <v>1.4999999999999999E-2</v>
      </c>
      <c r="BS6" s="10">
        <v>1.52E-2</v>
      </c>
      <c r="BT6" s="10">
        <v>1.49E-2</v>
      </c>
      <c r="BU6" s="10">
        <v>1.41E-2</v>
      </c>
      <c r="BV6" s="10">
        <v>1.44E-2</v>
      </c>
      <c r="BW6" s="10">
        <v>1.47E-2</v>
      </c>
      <c r="BX6" s="10">
        <v>1.47E-2</v>
      </c>
      <c r="BY6" s="10">
        <v>1.49E-2</v>
      </c>
      <c r="BZ6" s="10">
        <v>1.43E-2</v>
      </c>
      <c r="CA6" s="10">
        <v>1.43E-2</v>
      </c>
      <c r="CB6" s="10">
        <v>1.61E-2</v>
      </c>
    </row>
    <row r="7" spans="1:80" x14ac:dyDescent="0.3">
      <c r="A7" s="8" t="s">
        <v>162</v>
      </c>
      <c r="B7" s="1">
        <v>1.67E-2</v>
      </c>
      <c r="C7" s="10">
        <v>1.9400000000000001E-2</v>
      </c>
      <c r="D7" s="10">
        <v>1.66E-2</v>
      </c>
      <c r="E7" s="10">
        <v>1.6799999999999999E-2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1.8599999999999998E-2</v>
      </c>
      <c r="M7" s="10">
        <v>0.02</v>
      </c>
      <c r="N7" s="10">
        <v>1.8499999999999999E-2</v>
      </c>
      <c r="O7" s="10">
        <v>1.8700000000000001E-2</v>
      </c>
      <c r="P7" s="10">
        <v>1.84E-2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1.8499999999999999E-2</v>
      </c>
      <c r="AB7" s="10">
        <v>0</v>
      </c>
      <c r="AC7" s="10">
        <v>0</v>
      </c>
      <c r="AD7" s="10">
        <v>1.9E-2</v>
      </c>
      <c r="AE7" s="10">
        <v>0</v>
      </c>
      <c r="AF7" s="10">
        <v>0</v>
      </c>
      <c r="AG7" s="10">
        <v>1.8800000000000001E-2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1.9E-2</v>
      </c>
      <c r="AN7" s="10">
        <v>0</v>
      </c>
      <c r="AO7" s="10">
        <v>1.9E-2</v>
      </c>
      <c r="AP7" s="10">
        <v>1.8800000000000001E-2</v>
      </c>
      <c r="AQ7" s="10">
        <v>1.95E-2</v>
      </c>
      <c r="AR7" s="10">
        <v>1.83E-2</v>
      </c>
      <c r="AS7" s="10">
        <v>1.8800000000000001E-2</v>
      </c>
      <c r="AT7" s="10">
        <v>1.9300000000000001E-2</v>
      </c>
      <c r="AU7" s="10">
        <v>0</v>
      </c>
      <c r="AV7" s="10">
        <v>0</v>
      </c>
      <c r="AW7" s="10">
        <v>0</v>
      </c>
      <c r="AX7" s="10">
        <v>0</v>
      </c>
      <c r="AY7" s="10">
        <v>1.9E-2</v>
      </c>
      <c r="AZ7" s="10">
        <v>0</v>
      </c>
      <c r="BA7" s="10">
        <v>1.9E-2</v>
      </c>
      <c r="BB7" s="10">
        <v>0</v>
      </c>
      <c r="BC7" s="10">
        <v>1.8599999999999998E-2</v>
      </c>
      <c r="BD7" s="10">
        <v>1.78E-2</v>
      </c>
      <c r="BE7" s="10">
        <v>0</v>
      </c>
      <c r="BF7" s="10">
        <v>0</v>
      </c>
      <c r="BG7" s="10">
        <v>1.95E-2</v>
      </c>
      <c r="BH7" s="10">
        <v>1.6400000000000001E-2</v>
      </c>
      <c r="BI7" s="10">
        <v>0</v>
      </c>
      <c r="BJ7" s="10">
        <v>0</v>
      </c>
      <c r="BK7" s="10">
        <v>0</v>
      </c>
      <c r="BL7" s="10">
        <v>0</v>
      </c>
      <c r="BM7" s="10">
        <v>1.9E-2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1.6899999999999998E-2</v>
      </c>
    </row>
    <row r="8" spans="1:80" x14ac:dyDescent="0.3">
      <c r="A8" s="8" t="s">
        <v>163</v>
      </c>
      <c r="B8" s="1">
        <v>1.2E-2</v>
      </c>
      <c r="C8" s="10">
        <v>1.3899999999999999E-2</v>
      </c>
      <c r="D8" s="10">
        <v>1.17E-2</v>
      </c>
      <c r="E8" s="10">
        <v>1.1900000000000001E-2</v>
      </c>
      <c r="F8" s="10">
        <v>0</v>
      </c>
      <c r="G8" s="10">
        <v>0</v>
      </c>
      <c r="H8" s="10">
        <v>1.52E-2</v>
      </c>
      <c r="I8" s="10">
        <v>1.37E-2</v>
      </c>
      <c r="J8" s="10">
        <v>1.0800000000000001E-2</v>
      </c>
      <c r="K8" s="10">
        <v>1.5100000000000001E-2</v>
      </c>
      <c r="L8" s="10">
        <v>1.3899999999999999E-2</v>
      </c>
      <c r="M8" s="10">
        <v>1.4200000000000001E-2</v>
      </c>
      <c r="N8" s="10">
        <v>1.24E-2</v>
      </c>
      <c r="O8" s="10">
        <v>1.37E-2</v>
      </c>
      <c r="P8" s="10">
        <v>1.3100000000000001E-2</v>
      </c>
      <c r="Q8" s="10">
        <v>1.0699999999999999E-2</v>
      </c>
      <c r="R8" s="10">
        <v>1.4999999999999999E-2</v>
      </c>
      <c r="S8" s="10">
        <v>0</v>
      </c>
      <c r="T8" s="10">
        <v>1.09E-2</v>
      </c>
      <c r="U8" s="10">
        <v>0</v>
      </c>
      <c r="V8" s="10">
        <v>1.0699999999999999E-2</v>
      </c>
      <c r="W8" s="10">
        <v>0</v>
      </c>
      <c r="X8" s="10">
        <v>1.46E-2</v>
      </c>
      <c r="Y8" s="10">
        <v>1.5100000000000001E-2</v>
      </c>
      <c r="Z8" s="10">
        <v>1.3899999999999999E-2</v>
      </c>
      <c r="AA8" s="10">
        <v>1.41E-2</v>
      </c>
      <c r="AB8" s="10">
        <v>0</v>
      </c>
      <c r="AC8" s="10">
        <v>1.44E-2</v>
      </c>
      <c r="AD8" s="10">
        <v>1.38E-2</v>
      </c>
      <c r="AE8" s="10">
        <v>1.09E-2</v>
      </c>
      <c r="AF8" s="10">
        <v>1.5699999999999999E-2</v>
      </c>
      <c r="AG8" s="10">
        <v>1.2800000000000001E-2</v>
      </c>
      <c r="AH8" s="10">
        <v>0</v>
      </c>
      <c r="AI8" s="10">
        <v>1.4999999999999999E-2</v>
      </c>
      <c r="AJ8" s="10">
        <v>1.46E-2</v>
      </c>
      <c r="AK8" s="10">
        <v>0</v>
      </c>
      <c r="AL8" s="10">
        <v>1.06E-2</v>
      </c>
      <c r="AM8" s="10">
        <v>1.37E-2</v>
      </c>
      <c r="AN8" s="10">
        <v>1.5900000000000001E-2</v>
      </c>
      <c r="AO8" s="10">
        <v>1.3599999999999999E-2</v>
      </c>
      <c r="AP8" s="10">
        <v>1.34E-2</v>
      </c>
      <c r="AQ8" s="10">
        <v>1.38E-2</v>
      </c>
      <c r="AR8" s="10">
        <v>1.32E-2</v>
      </c>
      <c r="AS8" s="10">
        <v>1.3599999999999999E-2</v>
      </c>
      <c r="AT8" s="10">
        <v>1.2800000000000001E-2</v>
      </c>
      <c r="AU8" s="10">
        <v>1.2200000000000001E-2</v>
      </c>
      <c r="AV8" s="10">
        <v>1.4200000000000001E-2</v>
      </c>
      <c r="AW8" s="10">
        <v>1.5100000000000001E-2</v>
      </c>
      <c r="AX8" s="10">
        <v>1.41E-2</v>
      </c>
      <c r="AY8" s="10">
        <v>1.2999999999999999E-2</v>
      </c>
      <c r="AZ8" s="10">
        <v>1.4200000000000001E-2</v>
      </c>
      <c r="BA8" s="10">
        <v>1.3100000000000001E-2</v>
      </c>
      <c r="BB8" s="10">
        <v>1.49E-2</v>
      </c>
      <c r="BC8" s="10">
        <v>1.3100000000000001E-2</v>
      </c>
      <c r="BD8" s="10">
        <v>1.32E-2</v>
      </c>
      <c r="BE8" s="10">
        <v>1.49E-2</v>
      </c>
      <c r="BF8" s="10">
        <v>0</v>
      </c>
      <c r="BG8" s="10">
        <v>1.29E-2</v>
      </c>
      <c r="BH8" s="10">
        <v>1.14E-2</v>
      </c>
      <c r="BI8" s="10">
        <v>0</v>
      </c>
      <c r="BJ8" s="10">
        <v>1.11E-2</v>
      </c>
      <c r="BK8" s="10">
        <v>1.0800000000000001E-2</v>
      </c>
      <c r="BL8" s="10">
        <v>0</v>
      </c>
      <c r="BM8" s="10">
        <v>1.5100000000000001E-2</v>
      </c>
      <c r="BN8" s="10">
        <v>1.4200000000000001E-2</v>
      </c>
      <c r="BO8" s="10">
        <v>1.38E-2</v>
      </c>
      <c r="BP8" s="10">
        <v>1.4500000000000001E-2</v>
      </c>
      <c r="BQ8" s="10">
        <v>0</v>
      </c>
      <c r="BR8" s="10">
        <v>1.5100000000000001E-2</v>
      </c>
      <c r="BS8" s="10">
        <v>1.46E-2</v>
      </c>
      <c r="BT8" s="10">
        <v>0</v>
      </c>
      <c r="BU8" s="10">
        <v>1.41E-2</v>
      </c>
      <c r="BV8" s="10">
        <v>1.4200000000000001E-2</v>
      </c>
      <c r="BW8" s="10">
        <v>0</v>
      </c>
      <c r="BX8" s="10">
        <v>1.4500000000000001E-2</v>
      </c>
      <c r="BY8" s="10">
        <v>0</v>
      </c>
      <c r="BZ8" s="10">
        <v>1.43E-2</v>
      </c>
      <c r="CA8" s="10">
        <v>1.38E-2</v>
      </c>
      <c r="CB8" s="10">
        <v>1.15E-2</v>
      </c>
    </row>
    <row r="9" spans="1:80" x14ac:dyDescent="0.3">
      <c r="A9" s="8" t="s">
        <v>191</v>
      </c>
      <c r="B9" s="1">
        <v>0.57999999999999996</v>
      </c>
      <c r="C9" s="10">
        <v>0.66200000000000003</v>
      </c>
      <c r="D9" s="10">
        <v>0</v>
      </c>
      <c r="E9" s="10">
        <v>0</v>
      </c>
      <c r="F9" s="10">
        <v>0.64180000000000004</v>
      </c>
      <c r="G9" s="10">
        <v>0</v>
      </c>
      <c r="H9" s="10">
        <v>0.60329999999999995</v>
      </c>
      <c r="I9" s="10">
        <v>0.69440000000000002</v>
      </c>
      <c r="J9" s="10">
        <v>0.63319999999999999</v>
      </c>
      <c r="K9" s="10">
        <v>0.622</v>
      </c>
      <c r="L9" s="10">
        <v>0.67979999999999996</v>
      </c>
      <c r="M9" s="10">
        <v>0</v>
      </c>
      <c r="N9" s="10">
        <v>0.73129999999999995</v>
      </c>
      <c r="O9" s="10">
        <v>0.7016</v>
      </c>
      <c r="P9" s="10">
        <v>0.68289999999999995</v>
      </c>
      <c r="Q9" s="10">
        <v>0</v>
      </c>
      <c r="R9" s="10">
        <v>0</v>
      </c>
      <c r="S9" s="10">
        <v>0</v>
      </c>
      <c r="T9" s="10">
        <v>0.57230000000000003</v>
      </c>
      <c r="U9" s="10">
        <v>0</v>
      </c>
      <c r="V9" s="10">
        <v>0.5958</v>
      </c>
      <c r="W9" s="10">
        <v>0</v>
      </c>
      <c r="X9" s="10">
        <v>0.63029999999999997</v>
      </c>
      <c r="Y9" s="10">
        <v>0.67200000000000004</v>
      </c>
      <c r="Z9" s="10">
        <v>0.7</v>
      </c>
      <c r="AA9" s="10">
        <v>0.67490000000000006</v>
      </c>
      <c r="AB9" s="10">
        <v>0</v>
      </c>
      <c r="AC9" s="10">
        <v>0</v>
      </c>
      <c r="AD9" s="10">
        <v>0.70440000000000003</v>
      </c>
      <c r="AE9" s="10">
        <v>0.64590000000000003</v>
      </c>
      <c r="AF9" s="10">
        <v>0.63419999999999999</v>
      </c>
      <c r="AG9" s="10">
        <v>0.70440000000000003</v>
      </c>
      <c r="AH9" s="10">
        <v>0.63429999999999997</v>
      </c>
      <c r="AI9" s="10">
        <v>0</v>
      </c>
      <c r="AJ9" s="10">
        <v>0</v>
      </c>
      <c r="AK9" s="10">
        <v>0</v>
      </c>
      <c r="AL9" s="10">
        <v>0.61480000000000001</v>
      </c>
      <c r="AM9" s="10">
        <v>0.70179999999999998</v>
      </c>
      <c r="AN9" s="10">
        <v>0.70189999999999997</v>
      </c>
      <c r="AO9" s="10">
        <v>0.71220000000000006</v>
      </c>
      <c r="AP9" s="10">
        <v>0.68400000000000005</v>
      </c>
      <c r="AQ9" s="10">
        <v>0.70789999999999997</v>
      </c>
      <c r="AR9" s="10">
        <v>0.6552</v>
      </c>
      <c r="AS9" s="10">
        <v>0.70140000000000002</v>
      </c>
      <c r="AT9" s="10">
        <v>0.68100000000000005</v>
      </c>
      <c r="AU9" s="10">
        <v>0.65820000000000001</v>
      </c>
      <c r="AV9" s="10">
        <v>0.63139999999999996</v>
      </c>
      <c r="AW9" s="10">
        <v>0.73150000000000004</v>
      </c>
      <c r="AX9" s="10">
        <v>0.64319999999999999</v>
      </c>
      <c r="AY9" s="10">
        <v>0.68759999999999999</v>
      </c>
      <c r="AZ9" s="10">
        <v>0.68389999999999995</v>
      </c>
      <c r="BA9" s="10">
        <v>0.69620000000000004</v>
      </c>
      <c r="BB9" s="10">
        <v>0.63490000000000002</v>
      </c>
      <c r="BC9" s="10">
        <v>0.67479999999999996</v>
      </c>
      <c r="BD9" s="10">
        <v>0.63439999999999996</v>
      </c>
      <c r="BE9" s="10">
        <v>0.67120000000000002</v>
      </c>
      <c r="BF9" s="10">
        <v>0</v>
      </c>
      <c r="BG9" s="10">
        <v>0.68359999999999999</v>
      </c>
      <c r="BH9" s="10">
        <v>0.58360000000000001</v>
      </c>
      <c r="BI9" s="10">
        <v>0.66949999999999998</v>
      </c>
      <c r="BJ9" s="10">
        <v>0.59150000000000003</v>
      </c>
      <c r="BK9" s="10">
        <v>0.59189999999999998</v>
      </c>
      <c r="BL9" s="10">
        <v>0</v>
      </c>
      <c r="BM9" s="10" t="s">
        <v>160</v>
      </c>
      <c r="BN9" s="10">
        <v>0.68159999999999998</v>
      </c>
      <c r="BO9" s="10">
        <v>0</v>
      </c>
      <c r="BP9" s="10">
        <v>0.67469999999999997</v>
      </c>
      <c r="BQ9" s="10">
        <v>0</v>
      </c>
      <c r="BR9" s="10">
        <v>0.65400000000000003</v>
      </c>
      <c r="BS9" s="10">
        <v>0</v>
      </c>
      <c r="BT9" s="10">
        <v>0</v>
      </c>
      <c r="BU9" s="10">
        <v>0.69989999999999997</v>
      </c>
      <c r="BV9" s="10">
        <v>0.68320000000000003</v>
      </c>
      <c r="BW9" s="10">
        <v>0</v>
      </c>
      <c r="BX9" s="10">
        <v>0.66100000000000003</v>
      </c>
      <c r="BY9" s="10">
        <v>0</v>
      </c>
      <c r="BZ9" s="10">
        <v>0.65290000000000004</v>
      </c>
      <c r="CA9" s="10">
        <v>0.68230000000000002</v>
      </c>
      <c r="CB9" s="10">
        <v>0.61729999999999996</v>
      </c>
    </row>
    <row r="10" spans="1:80" x14ac:dyDescent="0.3">
      <c r="A10" s="8" t="s">
        <v>164</v>
      </c>
      <c r="B10" s="1">
        <v>7.1300000000000002E-2</v>
      </c>
      <c r="C10" s="10">
        <v>8.9700000000000002E-2</v>
      </c>
      <c r="D10" s="10">
        <v>7.3300000000000004E-2</v>
      </c>
      <c r="E10" s="10">
        <v>0</v>
      </c>
      <c r="F10" s="10">
        <v>8.6199999999999999E-2</v>
      </c>
      <c r="G10" s="10">
        <v>8.9399999999999993E-2</v>
      </c>
      <c r="H10" s="10">
        <v>8.4099999999999994E-2</v>
      </c>
      <c r="I10" s="10">
        <v>0</v>
      </c>
      <c r="J10" s="10">
        <v>6.9199999999999998E-2</v>
      </c>
      <c r="K10" s="10">
        <v>0</v>
      </c>
      <c r="L10" s="10">
        <v>8.4000000000000005E-2</v>
      </c>
      <c r="M10" s="10">
        <v>0</v>
      </c>
      <c r="N10" s="10">
        <v>7.9699999999999993E-2</v>
      </c>
      <c r="O10" s="10">
        <v>8.7300000000000003E-2</v>
      </c>
      <c r="P10" s="10">
        <v>9.0700000000000003E-2</v>
      </c>
      <c r="Q10" s="10">
        <v>0</v>
      </c>
      <c r="R10" s="10">
        <v>0</v>
      </c>
      <c r="S10" s="10">
        <v>0</v>
      </c>
      <c r="T10" s="10">
        <v>0</v>
      </c>
      <c r="U10" s="10">
        <v>8.0299999999999996E-2</v>
      </c>
      <c r="V10" s="10">
        <v>0</v>
      </c>
      <c r="W10" s="10">
        <v>7.6899999999999996E-2</v>
      </c>
      <c r="X10" s="10">
        <v>0</v>
      </c>
      <c r="Y10" s="10">
        <v>7.8100000000000003E-2</v>
      </c>
      <c r="Z10" s="10">
        <v>8.7300000000000003E-2</v>
      </c>
      <c r="AA10" s="10">
        <v>8.8700000000000001E-2</v>
      </c>
      <c r="AB10" s="10">
        <v>7.2599999999999998E-2</v>
      </c>
      <c r="AC10" s="10">
        <v>8.5500000000000007E-2</v>
      </c>
      <c r="AD10" s="10">
        <v>8.6300000000000002E-2</v>
      </c>
      <c r="AE10" s="10">
        <v>0</v>
      </c>
      <c r="AF10" s="10">
        <v>7.85E-2</v>
      </c>
      <c r="AG10" s="10">
        <v>8.5400000000000004E-2</v>
      </c>
      <c r="AH10" s="10" t="s">
        <v>160</v>
      </c>
      <c r="AI10" s="10">
        <v>0.08</v>
      </c>
      <c r="AJ10" s="10">
        <v>8.9800000000000005E-2</v>
      </c>
      <c r="AK10" s="10">
        <v>8.4500000000000006E-2</v>
      </c>
      <c r="AL10" s="10">
        <v>7.6999999999999999E-2</v>
      </c>
      <c r="AM10" s="10">
        <v>9.4500000000000001E-2</v>
      </c>
      <c r="AN10" s="10">
        <v>9.0399999999999994E-2</v>
      </c>
      <c r="AO10" s="10">
        <v>8.9800000000000005E-2</v>
      </c>
      <c r="AP10" s="10">
        <v>8.8999999999999996E-2</v>
      </c>
      <c r="AQ10" s="10">
        <v>8.2400000000000001E-2</v>
      </c>
      <c r="AR10" s="10">
        <v>8.4699999999999998E-2</v>
      </c>
      <c r="AS10" s="10">
        <v>8.6199999999999999E-2</v>
      </c>
      <c r="AT10" s="10">
        <v>8.8300000000000003E-2</v>
      </c>
      <c r="AU10" s="10">
        <v>0.08</v>
      </c>
      <c r="AV10" s="10">
        <v>0</v>
      </c>
      <c r="AW10" s="10">
        <v>8.4400000000000003E-2</v>
      </c>
      <c r="AX10" s="10">
        <v>7.8399999999999997E-2</v>
      </c>
      <c r="AY10" s="10">
        <v>8.7499999999999994E-2</v>
      </c>
      <c r="AZ10" s="10">
        <v>8.8200000000000001E-2</v>
      </c>
      <c r="BA10" s="10">
        <v>7.6100000000000001E-2</v>
      </c>
      <c r="BB10" s="10">
        <v>8.3699999999999997E-2</v>
      </c>
      <c r="BC10" s="10">
        <v>9.2499999999999999E-2</v>
      </c>
      <c r="BD10" s="10">
        <v>8.1500000000000003E-2</v>
      </c>
      <c r="BE10" s="10">
        <v>8.9099999999999999E-2</v>
      </c>
      <c r="BF10" s="10">
        <v>7.6499999999999999E-2</v>
      </c>
      <c r="BG10" s="10">
        <v>7.5600000000000001E-2</v>
      </c>
      <c r="BH10" s="10">
        <v>7.8399999999999997E-2</v>
      </c>
      <c r="BI10" s="10">
        <v>0</v>
      </c>
      <c r="BJ10" s="10">
        <v>0</v>
      </c>
      <c r="BK10" s="10">
        <v>0</v>
      </c>
      <c r="BL10" s="10">
        <v>0</v>
      </c>
      <c r="BM10" s="10">
        <v>8.8499999999999995E-2</v>
      </c>
      <c r="BN10" s="10">
        <v>9.2799999999999994E-2</v>
      </c>
      <c r="BO10" s="10">
        <v>0</v>
      </c>
      <c r="BP10" s="10">
        <v>0</v>
      </c>
      <c r="BQ10" s="10">
        <v>0</v>
      </c>
      <c r="BR10" s="10">
        <v>8.7999999999999995E-2</v>
      </c>
      <c r="BS10" s="10">
        <v>8.5699999999999998E-2</v>
      </c>
      <c r="BT10" s="10">
        <v>0</v>
      </c>
      <c r="BU10" s="10">
        <v>8.9599999999999999E-2</v>
      </c>
      <c r="BV10" s="10">
        <v>0</v>
      </c>
      <c r="BW10" s="10">
        <v>0</v>
      </c>
      <c r="BX10" s="10">
        <v>8.4599999999999995E-2</v>
      </c>
      <c r="BY10" s="10">
        <v>0</v>
      </c>
      <c r="BZ10" s="10">
        <v>8.6999999999999994E-2</v>
      </c>
      <c r="CA10" s="10">
        <v>0</v>
      </c>
      <c r="CB10" s="10">
        <v>8.0600000000000005E-2</v>
      </c>
    </row>
    <row r="11" spans="1:80" x14ac:dyDescent="0.3">
      <c r="A11" s="8" t="s">
        <v>165</v>
      </c>
      <c r="B11" s="1">
        <v>1.35E-2</v>
      </c>
      <c r="C11" s="10">
        <v>1.24E-2</v>
      </c>
      <c r="D11" s="10">
        <v>1.4200000000000001E-2</v>
      </c>
      <c r="E11" s="10">
        <v>1.3599999999999999E-2</v>
      </c>
      <c r="F11" s="10">
        <v>1.35E-2</v>
      </c>
      <c r="G11" s="10">
        <v>1.3299999999999999E-2</v>
      </c>
      <c r="H11" s="10">
        <v>1.2200000000000001E-2</v>
      </c>
      <c r="I11" s="10">
        <v>0</v>
      </c>
      <c r="J11" s="10">
        <v>0</v>
      </c>
      <c r="K11" s="10">
        <v>1.1900000000000001E-2</v>
      </c>
      <c r="L11" s="10">
        <v>1.32E-2</v>
      </c>
      <c r="M11" s="10">
        <v>1.54E-2</v>
      </c>
      <c r="N11" s="10">
        <v>1.2699999999999999E-2</v>
      </c>
      <c r="O11" s="10">
        <v>1.32E-2</v>
      </c>
      <c r="P11" s="10">
        <v>1.2999999999999999E-2</v>
      </c>
      <c r="Q11" s="10">
        <v>0</v>
      </c>
      <c r="R11" s="10">
        <v>1.5699999999999999E-2</v>
      </c>
      <c r="S11" s="10">
        <v>0</v>
      </c>
      <c r="T11" s="10">
        <v>0</v>
      </c>
      <c r="U11" s="10">
        <v>1.24E-2</v>
      </c>
      <c r="V11" s="10">
        <v>0</v>
      </c>
      <c r="W11" s="10">
        <v>1.26E-2</v>
      </c>
      <c r="X11" s="10">
        <v>1.1900000000000001E-2</v>
      </c>
      <c r="Y11" s="10">
        <v>1.24E-2</v>
      </c>
      <c r="Z11" s="10">
        <v>1.24E-2</v>
      </c>
      <c r="AA11" s="10">
        <v>1.55E-2</v>
      </c>
      <c r="AB11" s="10">
        <v>1.29E-2</v>
      </c>
      <c r="AC11" s="10">
        <v>0</v>
      </c>
      <c r="AD11" s="10">
        <v>1.26E-2</v>
      </c>
      <c r="AE11" s="10">
        <v>0</v>
      </c>
      <c r="AF11" s="10">
        <v>1.2200000000000001E-2</v>
      </c>
      <c r="AG11" s="10">
        <v>1.2999999999999999E-2</v>
      </c>
      <c r="AH11" s="10">
        <v>1.26E-2</v>
      </c>
      <c r="AI11" s="10">
        <v>1.18E-2</v>
      </c>
      <c r="AJ11" s="10">
        <v>1.23E-2</v>
      </c>
      <c r="AK11" s="10">
        <v>1.2E-2</v>
      </c>
      <c r="AL11" s="10">
        <v>1.2699999999999999E-2</v>
      </c>
      <c r="AM11" s="10">
        <v>1.32E-2</v>
      </c>
      <c r="AN11" s="10">
        <v>1.2500000000000001E-2</v>
      </c>
      <c r="AO11" s="10">
        <v>1.32E-2</v>
      </c>
      <c r="AP11" s="10">
        <v>1.34E-2</v>
      </c>
      <c r="AQ11" s="10">
        <v>1.3899999999999999E-2</v>
      </c>
      <c r="AR11" s="10">
        <v>1.32E-2</v>
      </c>
      <c r="AS11" s="10">
        <v>1.29E-2</v>
      </c>
      <c r="AT11" s="10">
        <v>1.2999999999999999E-2</v>
      </c>
      <c r="AU11" s="10">
        <v>1.24E-2</v>
      </c>
      <c r="AV11" s="10">
        <v>1.2500000000000001E-2</v>
      </c>
      <c r="AW11" s="10">
        <v>1.21E-2</v>
      </c>
      <c r="AX11" s="10">
        <v>1.2999999999999999E-2</v>
      </c>
      <c r="AY11" s="10">
        <v>1.2800000000000001E-2</v>
      </c>
      <c r="AZ11" s="10">
        <v>1.23E-2</v>
      </c>
      <c r="BA11" s="10">
        <v>1.29E-2</v>
      </c>
      <c r="BB11" s="10">
        <v>1.2500000000000001E-2</v>
      </c>
      <c r="BC11" s="10">
        <v>1.29E-2</v>
      </c>
      <c r="BD11" s="10">
        <v>1.23E-2</v>
      </c>
      <c r="BE11" s="10">
        <v>1.2699999999999999E-2</v>
      </c>
      <c r="BF11" s="10">
        <v>1.15E-2</v>
      </c>
      <c r="BG11" s="10">
        <v>1.2500000000000001E-2</v>
      </c>
      <c r="BH11" s="10">
        <v>1.1900000000000001E-2</v>
      </c>
      <c r="BI11" s="10">
        <v>1.1900000000000001E-2</v>
      </c>
      <c r="BJ11" s="10">
        <v>0</v>
      </c>
      <c r="BK11" s="10">
        <v>0</v>
      </c>
      <c r="BL11" s="10">
        <v>1.3100000000000001E-2</v>
      </c>
      <c r="BM11" s="10">
        <v>1.5599999999999999E-2</v>
      </c>
      <c r="BN11" s="10">
        <v>1.34E-2</v>
      </c>
      <c r="BO11" s="10">
        <v>1.35E-2</v>
      </c>
      <c r="BP11" s="10">
        <v>1.3100000000000001E-2</v>
      </c>
      <c r="BQ11" s="10">
        <v>1.2200000000000001E-2</v>
      </c>
      <c r="BR11" s="10">
        <v>1.52E-2</v>
      </c>
      <c r="BS11" s="10">
        <v>1.3100000000000001E-2</v>
      </c>
      <c r="BT11" s="10">
        <v>1.3299999999999999E-2</v>
      </c>
      <c r="BU11" s="10">
        <v>1.3299999999999999E-2</v>
      </c>
      <c r="BV11" s="10">
        <v>1.3899999999999999E-2</v>
      </c>
      <c r="BW11" s="10">
        <v>1.2699999999999999E-2</v>
      </c>
      <c r="BX11" s="10">
        <v>1.32E-2</v>
      </c>
      <c r="BY11" s="10">
        <v>1.29E-2</v>
      </c>
      <c r="BZ11" s="10">
        <v>1.38E-2</v>
      </c>
      <c r="CA11" s="10">
        <v>1.5299999999999999E-2</v>
      </c>
      <c r="CB11" s="10">
        <v>1.24E-2</v>
      </c>
    </row>
    <row r="12" spans="1:80" x14ac:dyDescent="0.3">
      <c r="A12" s="8" t="s">
        <v>166</v>
      </c>
      <c r="B12" s="1">
        <v>2.4400000000000002E-2</v>
      </c>
      <c r="C12" s="10">
        <v>2.6800000000000001E-2</v>
      </c>
      <c r="D12" s="10">
        <v>2.3599999999999999E-2</v>
      </c>
      <c r="E12" s="10">
        <v>2.4199999999999999E-2</v>
      </c>
      <c r="F12" s="10">
        <v>2.7900000000000001E-2</v>
      </c>
      <c r="G12" s="10">
        <v>2.7699999999999999E-2</v>
      </c>
      <c r="H12" s="10">
        <v>0</v>
      </c>
      <c r="I12" s="10">
        <v>2.3699999999999999E-2</v>
      </c>
      <c r="J12" s="10">
        <v>0</v>
      </c>
      <c r="K12" s="10">
        <v>0</v>
      </c>
      <c r="L12" s="10">
        <v>2.46E-2</v>
      </c>
      <c r="M12" s="10">
        <v>2.3599999999999999E-2</v>
      </c>
      <c r="N12" s="10">
        <v>2.1899999999999999E-2</v>
      </c>
      <c r="O12" s="10">
        <v>2.7099999999999999E-2</v>
      </c>
      <c r="P12" s="10">
        <v>2.2100000000000002E-2</v>
      </c>
      <c r="Q12" s="10">
        <v>0</v>
      </c>
      <c r="R12" s="10">
        <v>2.4E-2</v>
      </c>
      <c r="S12" s="10">
        <v>1.8700000000000001E-2</v>
      </c>
      <c r="T12" s="10">
        <v>0</v>
      </c>
      <c r="U12" s="10">
        <v>1.83E-2</v>
      </c>
      <c r="V12" s="10">
        <v>0</v>
      </c>
      <c r="W12" s="10">
        <v>1.9E-2</v>
      </c>
      <c r="X12" s="10">
        <v>3.0499999999999999E-2</v>
      </c>
      <c r="Y12" s="10">
        <v>0</v>
      </c>
      <c r="Z12" s="10">
        <v>0</v>
      </c>
      <c r="AA12" s="10">
        <v>2.1600000000000001E-2</v>
      </c>
      <c r="AB12" s="10">
        <v>1.9400000000000001E-2</v>
      </c>
      <c r="AC12" s="10">
        <v>0</v>
      </c>
      <c r="AD12" s="10">
        <v>2.07E-2</v>
      </c>
      <c r="AE12" s="10">
        <v>0</v>
      </c>
      <c r="AF12" s="10">
        <v>2.8199999999999999E-2</v>
      </c>
      <c r="AG12" s="10">
        <v>2.01E-2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2.3E-2</v>
      </c>
      <c r="AN12" s="10">
        <v>0</v>
      </c>
      <c r="AO12" s="10">
        <v>2.1899999999999999E-2</v>
      </c>
      <c r="AP12" s="10">
        <v>1.9199999999999998E-2</v>
      </c>
      <c r="AQ12" s="10">
        <v>2.0299999999999999E-2</v>
      </c>
      <c r="AR12" s="10">
        <v>2.1600000000000001E-2</v>
      </c>
      <c r="AS12" s="10">
        <v>2.1600000000000001E-2</v>
      </c>
      <c r="AT12" s="10">
        <v>2.1000000000000001E-2</v>
      </c>
      <c r="AU12" s="10">
        <v>1.77E-2</v>
      </c>
      <c r="AV12" s="10">
        <v>0</v>
      </c>
      <c r="AW12" s="10">
        <v>3.0800000000000001E-2</v>
      </c>
      <c r="AX12" s="10">
        <v>0</v>
      </c>
      <c r="AY12" s="10">
        <v>2.06E-2</v>
      </c>
      <c r="AZ12" s="10">
        <v>0</v>
      </c>
      <c r="BA12" s="10">
        <v>2.1299999999999999E-2</v>
      </c>
      <c r="BB12" s="10">
        <v>0</v>
      </c>
      <c r="BC12" s="10">
        <v>2.07E-2</v>
      </c>
      <c r="BD12" s="10">
        <v>2.1100000000000001E-2</v>
      </c>
      <c r="BE12" s="10">
        <v>0</v>
      </c>
      <c r="BF12" s="10">
        <v>0</v>
      </c>
      <c r="BG12" s="10">
        <v>2.1999999999999999E-2</v>
      </c>
      <c r="BH12" s="10">
        <v>0</v>
      </c>
      <c r="BI12" s="10">
        <v>0</v>
      </c>
      <c r="BJ12" s="10">
        <v>0</v>
      </c>
      <c r="BK12" s="10">
        <v>0</v>
      </c>
      <c r="BL12" s="10">
        <v>1.8100000000000002E-2</v>
      </c>
      <c r="BM12" s="10">
        <v>2.2100000000000002E-2</v>
      </c>
      <c r="BN12" s="10">
        <v>2.53E-2</v>
      </c>
      <c r="BO12" s="10">
        <v>0</v>
      </c>
      <c r="BP12" s="10">
        <v>0</v>
      </c>
      <c r="BQ12" s="10">
        <v>1.72E-2</v>
      </c>
      <c r="BR12" s="10">
        <v>1.8599999999999998E-2</v>
      </c>
      <c r="BS12" s="10">
        <v>2.5899999999999999E-2</v>
      </c>
      <c r="BT12" s="10">
        <v>2.1000000000000001E-2</v>
      </c>
      <c r="BU12" s="10">
        <v>0</v>
      </c>
      <c r="BV12" s="10">
        <v>0</v>
      </c>
      <c r="BW12" s="10">
        <v>1.9400000000000001E-2</v>
      </c>
      <c r="BX12" s="10">
        <v>0</v>
      </c>
      <c r="BY12" s="10">
        <v>1.9099999999999999E-2</v>
      </c>
      <c r="BZ12" s="10">
        <v>0</v>
      </c>
      <c r="CA12" s="10">
        <v>2.1499999999999998E-2</v>
      </c>
      <c r="CB12" s="10">
        <v>0</v>
      </c>
    </row>
    <row r="13" spans="1:80" x14ac:dyDescent="0.3">
      <c r="A13" s="8" t="s">
        <v>167</v>
      </c>
      <c r="B13" s="1">
        <v>1.9300000000000001E-2</v>
      </c>
      <c r="C13" s="10">
        <v>2.0299999999999999E-2</v>
      </c>
      <c r="D13" s="10">
        <v>1.84E-2</v>
      </c>
      <c r="E13" s="10">
        <v>1.9300000000000001E-2</v>
      </c>
      <c r="F13" s="10">
        <v>0.02</v>
      </c>
      <c r="G13" s="10">
        <v>2.01E-2</v>
      </c>
      <c r="H13" s="10">
        <v>1.95E-2</v>
      </c>
      <c r="I13" s="10">
        <v>0</v>
      </c>
      <c r="J13" s="10">
        <v>0</v>
      </c>
      <c r="K13" s="10">
        <v>1.9199999999999998E-2</v>
      </c>
      <c r="L13" s="10">
        <v>2.0500000000000001E-2</v>
      </c>
      <c r="M13" s="10">
        <v>1.8100000000000002E-2</v>
      </c>
      <c r="N13" s="10">
        <v>2.1600000000000001E-2</v>
      </c>
      <c r="O13" s="10">
        <v>2.0400000000000001E-2</v>
      </c>
      <c r="P13" s="10">
        <v>2.1299999999999999E-2</v>
      </c>
      <c r="Q13" s="10">
        <v>0</v>
      </c>
      <c r="R13" s="10">
        <v>2.06E-2</v>
      </c>
      <c r="S13" s="10">
        <v>2.86E-2</v>
      </c>
      <c r="T13" s="10">
        <v>0</v>
      </c>
      <c r="U13" s="10">
        <v>2.8299999999999999E-2</v>
      </c>
      <c r="V13" s="10">
        <v>0</v>
      </c>
      <c r="W13" s="10">
        <v>2.8899999999999999E-2</v>
      </c>
      <c r="X13" s="10">
        <v>2.06E-2</v>
      </c>
      <c r="Y13" s="10">
        <v>2.06E-2</v>
      </c>
      <c r="Z13" s="10">
        <v>2.1999999999999999E-2</v>
      </c>
      <c r="AA13" s="10">
        <v>1.9599999999999999E-2</v>
      </c>
      <c r="AB13" s="10">
        <v>2.8000000000000001E-2</v>
      </c>
      <c r="AC13" s="10">
        <v>2.1700000000000001E-2</v>
      </c>
      <c r="AD13" s="10">
        <v>2.0500000000000001E-2</v>
      </c>
      <c r="AE13" s="10">
        <v>0</v>
      </c>
      <c r="AF13" s="10">
        <v>2.0899999999999998E-2</v>
      </c>
      <c r="AG13" s="10">
        <v>2.06E-2</v>
      </c>
      <c r="AH13" s="10">
        <v>1.9E-2</v>
      </c>
      <c r="AI13" s="10">
        <v>0</v>
      </c>
      <c r="AJ13" s="10">
        <v>2.1700000000000001E-2</v>
      </c>
      <c r="AK13" s="10">
        <v>2.1299999999999999E-2</v>
      </c>
      <c r="AL13" s="10">
        <v>0</v>
      </c>
      <c r="AM13" s="10">
        <v>2.0799999999999999E-2</v>
      </c>
      <c r="AN13" s="10">
        <v>2.07E-2</v>
      </c>
      <c r="AO13" s="10">
        <v>2.0799999999999999E-2</v>
      </c>
      <c r="AP13" s="10">
        <v>2.06E-2</v>
      </c>
      <c r="AQ13" s="10">
        <v>0.02</v>
      </c>
      <c r="AR13" s="10">
        <v>2.0899999999999998E-2</v>
      </c>
      <c r="AS13" s="10">
        <v>2.0400000000000001E-2</v>
      </c>
      <c r="AT13" s="10">
        <v>1.9300000000000001E-2</v>
      </c>
      <c r="AU13" s="10">
        <v>2.52E-2</v>
      </c>
      <c r="AV13" s="10">
        <v>2.1299999999999999E-2</v>
      </c>
      <c r="AW13" s="10">
        <v>2.0899999999999998E-2</v>
      </c>
      <c r="AX13" s="10">
        <v>2.1600000000000001E-2</v>
      </c>
      <c r="AY13" s="10">
        <v>2.0400000000000001E-2</v>
      </c>
      <c r="AZ13" s="10">
        <v>2.1899999999999999E-2</v>
      </c>
      <c r="BA13" s="10">
        <v>2.0500000000000001E-2</v>
      </c>
      <c r="BB13" s="10">
        <v>1.9099999999999999E-2</v>
      </c>
      <c r="BC13" s="10">
        <v>2.07E-2</v>
      </c>
      <c r="BD13" s="10">
        <v>2.0299999999999999E-2</v>
      </c>
      <c r="BE13" s="10">
        <v>2.18E-2</v>
      </c>
      <c r="BF13" s="10">
        <v>2.0199999999999999E-2</v>
      </c>
      <c r="BG13" s="10">
        <v>2.0500000000000001E-2</v>
      </c>
      <c r="BH13" s="10">
        <v>0</v>
      </c>
      <c r="BI13" s="10">
        <v>0</v>
      </c>
      <c r="BJ13" s="10">
        <v>0</v>
      </c>
      <c r="BK13" s="10">
        <v>0</v>
      </c>
      <c r="BL13" s="10">
        <v>2.7799999999999998E-2</v>
      </c>
      <c r="BM13" s="10">
        <v>1.9400000000000001E-2</v>
      </c>
      <c r="BN13" s="10">
        <v>2.2200000000000001E-2</v>
      </c>
      <c r="BO13" s="10">
        <v>2.1899999999999999E-2</v>
      </c>
      <c r="BP13" s="10">
        <v>2.1999999999999999E-2</v>
      </c>
      <c r="BQ13" s="10">
        <v>2.8299999999999999E-2</v>
      </c>
      <c r="BR13" s="10">
        <v>2.0799999999999999E-2</v>
      </c>
      <c r="BS13" s="10">
        <v>2.2100000000000002E-2</v>
      </c>
      <c r="BT13" s="10">
        <v>2.86E-2</v>
      </c>
      <c r="BU13" s="10">
        <v>2.1999999999999999E-2</v>
      </c>
      <c r="BV13" s="10">
        <v>2.1899999999999999E-2</v>
      </c>
      <c r="BW13" s="10">
        <v>2.8500000000000001E-2</v>
      </c>
      <c r="BX13" s="10">
        <v>2.2599999999999999E-2</v>
      </c>
      <c r="BY13" s="10">
        <v>2.7900000000000001E-2</v>
      </c>
      <c r="BZ13" s="10">
        <v>2.2100000000000002E-2</v>
      </c>
      <c r="CA13" s="10">
        <v>2.07E-2</v>
      </c>
      <c r="CB13" s="10">
        <v>0</v>
      </c>
    </row>
    <row r="14" spans="1:80" x14ac:dyDescent="0.3">
      <c r="A14" s="8" t="s">
        <v>168</v>
      </c>
      <c r="B14" s="1">
        <v>4.3200000000000002E-2</v>
      </c>
      <c r="C14" s="10">
        <v>5.0500000000000003E-2</v>
      </c>
      <c r="D14" s="10">
        <v>4.3200000000000002E-2</v>
      </c>
      <c r="E14" s="10">
        <v>4.4699999999999997E-2</v>
      </c>
      <c r="F14" s="10">
        <v>4.7399999999999998E-2</v>
      </c>
      <c r="G14" s="10">
        <v>5.0599999999999999E-2</v>
      </c>
      <c r="H14" s="10">
        <v>4.9700000000000001E-2</v>
      </c>
      <c r="I14" s="10">
        <v>4.5600000000000002E-2</v>
      </c>
      <c r="J14" s="10">
        <v>0</v>
      </c>
      <c r="K14" s="10">
        <v>4.8399999999999999E-2</v>
      </c>
      <c r="L14" s="10">
        <v>4.7E-2</v>
      </c>
      <c r="M14" s="10">
        <v>0</v>
      </c>
      <c r="N14" s="10">
        <v>4.7399999999999998E-2</v>
      </c>
      <c r="O14" s="10">
        <v>4.7899999999999998E-2</v>
      </c>
      <c r="P14" s="10">
        <v>4.8300000000000003E-2</v>
      </c>
      <c r="Q14" s="10">
        <v>0</v>
      </c>
      <c r="R14" s="10">
        <v>4.9200000000000001E-2</v>
      </c>
      <c r="S14" s="10">
        <v>4.9099999999999998E-2</v>
      </c>
      <c r="T14" s="10">
        <v>0</v>
      </c>
      <c r="U14" s="10">
        <v>4.8899999999999999E-2</v>
      </c>
      <c r="V14" s="10">
        <v>0</v>
      </c>
      <c r="W14" s="10">
        <v>4.9200000000000001E-2</v>
      </c>
      <c r="X14" s="10">
        <v>4.7800000000000002E-2</v>
      </c>
      <c r="Y14" s="10">
        <v>4.9700000000000001E-2</v>
      </c>
      <c r="Z14" s="10">
        <v>4.6600000000000003E-2</v>
      </c>
      <c r="AA14" s="10">
        <v>4.5100000000000001E-2</v>
      </c>
      <c r="AB14" s="10">
        <v>4.9099999999999998E-2</v>
      </c>
      <c r="AC14" s="10">
        <v>4.8099999999999997E-2</v>
      </c>
      <c r="AD14" s="10">
        <v>4.58E-2</v>
      </c>
      <c r="AE14" s="10">
        <v>0</v>
      </c>
      <c r="AF14" s="10">
        <v>4.8500000000000001E-2</v>
      </c>
      <c r="AG14" s="10">
        <v>4.65E-2</v>
      </c>
      <c r="AH14" s="10">
        <v>4.8399999999999999E-2</v>
      </c>
      <c r="AI14" s="10">
        <v>4.82E-2</v>
      </c>
      <c r="AJ14" s="10">
        <v>4.7600000000000003E-2</v>
      </c>
      <c r="AK14" s="10">
        <v>5.2499999999999998E-2</v>
      </c>
      <c r="AL14" s="10">
        <v>5.2299999999999999E-2</v>
      </c>
      <c r="AM14" s="10">
        <v>4.8099999999999997E-2</v>
      </c>
      <c r="AN14" s="10">
        <v>5.0599999999999999E-2</v>
      </c>
      <c r="AO14" s="10">
        <v>4.5100000000000001E-2</v>
      </c>
      <c r="AP14" s="10">
        <v>4.7100000000000003E-2</v>
      </c>
      <c r="AQ14" s="10">
        <v>4.5699999999999998E-2</v>
      </c>
      <c r="AR14" s="10">
        <v>4.6100000000000002E-2</v>
      </c>
      <c r="AS14" s="10">
        <v>4.7100000000000003E-2</v>
      </c>
      <c r="AT14" s="10">
        <v>4.53E-2</v>
      </c>
      <c r="AU14" s="10">
        <v>5.04E-2</v>
      </c>
      <c r="AV14" s="10">
        <v>4.82E-2</v>
      </c>
      <c r="AW14" s="10">
        <v>5.1299999999999998E-2</v>
      </c>
      <c r="AX14" s="10">
        <v>4.8300000000000003E-2</v>
      </c>
      <c r="AY14" s="10">
        <v>4.5400000000000003E-2</v>
      </c>
      <c r="AZ14" s="10">
        <v>4.9299999999999997E-2</v>
      </c>
      <c r="BA14" s="10">
        <v>4.6300000000000001E-2</v>
      </c>
      <c r="BB14" s="10">
        <v>4.8099999999999997E-2</v>
      </c>
      <c r="BC14" s="10">
        <v>4.8000000000000001E-2</v>
      </c>
      <c r="BD14" s="10">
        <v>4.4499999999999998E-2</v>
      </c>
      <c r="BE14" s="10">
        <v>4.87E-2</v>
      </c>
      <c r="BF14" s="10">
        <v>5.0999999999999997E-2</v>
      </c>
      <c r="BG14" s="10">
        <v>4.5900000000000003E-2</v>
      </c>
      <c r="BH14" s="10">
        <v>5.2299999999999999E-2</v>
      </c>
      <c r="BI14" s="10">
        <v>0.05</v>
      </c>
      <c r="BJ14" s="10">
        <v>0</v>
      </c>
      <c r="BK14" s="10">
        <v>0</v>
      </c>
      <c r="BL14" s="10">
        <v>5.0700000000000002E-2</v>
      </c>
      <c r="BM14" s="10">
        <v>4.6100000000000002E-2</v>
      </c>
      <c r="BN14" s="10">
        <v>4.8599999999999997E-2</v>
      </c>
      <c r="BO14" s="10">
        <v>4.9099999999999998E-2</v>
      </c>
      <c r="BP14" s="10">
        <v>4.8599999999999997E-2</v>
      </c>
      <c r="BQ14" s="10">
        <v>4.7600000000000003E-2</v>
      </c>
      <c r="BR14" s="10">
        <v>5.0299999999999997E-2</v>
      </c>
      <c r="BS14" s="10">
        <v>4.8500000000000001E-2</v>
      </c>
      <c r="BT14" s="10">
        <v>4.9500000000000002E-2</v>
      </c>
      <c r="BU14" s="10">
        <v>4.7300000000000002E-2</v>
      </c>
      <c r="BV14" s="10">
        <v>4.7399999999999998E-2</v>
      </c>
      <c r="BW14" s="10">
        <v>4.9200000000000001E-2</v>
      </c>
      <c r="BX14" s="10">
        <v>4.65E-2</v>
      </c>
      <c r="BY14" s="10">
        <v>4.9500000000000002E-2</v>
      </c>
      <c r="BZ14" s="10">
        <v>4.6800000000000001E-2</v>
      </c>
      <c r="CA14" s="10">
        <v>4.6100000000000002E-2</v>
      </c>
      <c r="CB14" s="10">
        <v>5.1999999999999998E-2</v>
      </c>
    </row>
    <row r="15" spans="1:80" x14ac:dyDescent="0.3">
      <c r="A15" s="8" t="s">
        <v>169</v>
      </c>
      <c r="B15" s="1">
        <v>4.8800000000000003E-2</v>
      </c>
      <c r="C15" s="10">
        <v>0</v>
      </c>
      <c r="D15" s="10">
        <v>0.05</v>
      </c>
      <c r="E15" s="10">
        <v>5.1700000000000003E-2</v>
      </c>
      <c r="F15" s="10">
        <v>0</v>
      </c>
      <c r="G15" s="10">
        <v>0</v>
      </c>
      <c r="H15" s="10">
        <v>5.5199999999999999E-2</v>
      </c>
      <c r="I15" s="10">
        <v>5.0999999999999997E-2</v>
      </c>
      <c r="J15" s="10">
        <v>8.3099999999999993E-2</v>
      </c>
      <c r="K15" s="10">
        <v>0</v>
      </c>
      <c r="L15" s="10">
        <v>0</v>
      </c>
      <c r="M15" s="10">
        <v>0</v>
      </c>
      <c r="N15" s="10">
        <v>5.57E-2</v>
      </c>
      <c r="O15" s="10">
        <v>0</v>
      </c>
      <c r="P15" s="10">
        <v>5.3100000000000001E-2</v>
      </c>
      <c r="Q15" s="10">
        <v>8.2500000000000004E-2</v>
      </c>
      <c r="R15" s="10">
        <v>5.5399999999999998E-2</v>
      </c>
      <c r="S15" s="10">
        <v>0</v>
      </c>
      <c r="T15" s="10">
        <v>8.3099999999999993E-2</v>
      </c>
      <c r="U15" s="10">
        <v>0</v>
      </c>
      <c r="V15" s="10">
        <v>8.43E-2</v>
      </c>
      <c r="W15" s="10">
        <v>0</v>
      </c>
      <c r="X15" s="10">
        <v>5.4899999999999997E-2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8.1500000000000003E-2</v>
      </c>
      <c r="AF15" s="10">
        <v>5.5E-2</v>
      </c>
      <c r="AG15" s="10">
        <v>0</v>
      </c>
      <c r="AH15" s="10">
        <v>5.4100000000000002E-2</v>
      </c>
      <c r="AI15" s="10">
        <v>0</v>
      </c>
      <c r="AJ15" s="10">
        <v>0</v>
      </c>
      <c r="AK15" s="10">
        <v>0</v>
      </c>
      <c r="AL15" s="10">
        <v>8.8999999999999996E-2</v>
      </c>
      <c r="AM15" s="10">
        <v>5.3600000000000002E-2</v>
      </c>
      <c r="AN15" s="10">
        <v>0</v>
      </c>
      <c r="AO15" s="10">
        <v>5.3800000000000001E-2</v>
      </c>
      <c r="AP15" s="10">
        <v>0</v>
      </c>
      <c r="AQ15" s="10">
        <v>5.2200000000000003E-2</v>
      </c>
      <c r="AR15" s="10">
        <v>0</v>
      </c>
      <c r="AS15" s="10">
        <v>5.6500000000000002E-2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5.2499999999999998E-2</v>
      </c>
      <c r="BB15" s="10">
        <v>5.2400000000000002E-2</v>
      </c>
      <c r="BC15" s="10">
        <v>0</v>
      </c>
      <c r="BD15" s="10">
        <v>0</v>
      </c>
      <c r="BE15" s="10">
        <v>0</v>
      </c>
      <c r="BF15" s="10">
        <v>5.67E-2</v>
      </c>
      <c r="BG15" s="10">
        <v>0</v>
      </c>
      <c r="BH15" s="10">
        <v>0.1045</v>
      </c>
      <c r="BI15" s="10">
        <v>5.5300000000000002E-2</v>
      </c>
      <c r="BJ15" s="10">
        <v>8.3299999999999999E-2</v>
      </c>
      <c r="BK15" s="10">
        <v>8.5599999999999996E-2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8.43E-2</v>
      </c>
    </row>
    <row r="16" spans="1:80" x14ac:dyDescent="0.3">
      <c r="A16" s="8" t="s">
        <v>170</v>
      </c>
      <c r="B16" s="1">
        <v>4.1700000000000001E-2</v>
      </c>
      <c r="C16" s="10">
        <v>4.3400000000000001E-2</v>
      </c>
      <c r="D16" s="10">
        <v>4.1000000000000002E-2</v>
      </c>
      <c r="E16" s="10">
        <v>4.58E-2</v>
      </c>
      <c r="F16" s="10">
        <v>0</v>
      </c>
      <c r="G16" s="10">
        <v>4.7300000000000002E-2</v>
      </c>
      <c r="H16" s="10">
        <v>0</v>
      </c>
      <c r="I16" s="10">
        <v>4.6699999999999998E-2</v>
      </c>
      <c r="J16" s="10">
        <v>5.8099999999999999E-2</v>
      </c>
      <c r="K16" s="10">
        <v>4.7100000000000003E-2</v>
      </c>
      <c r="L16" s="10">
        <v>5.9200000000000003E-2</v>
      </c>
      <c r="M16" s="10">
        <v>4.82E-2</v>
      </c>
      <c r="N16" s="10">
        <v>6.9000000000000006E-2</v>
      </c>
      <c r="O16" s="10">
        <v>6.4399999999999999E-2</v>
      </c>
      <c r="P16" s="10">
        <v>6.3299999999999995E-2</v>
      </c>
      <c r="Q16" s="10">
        <v>0</v>
      </c>
      <c r="R16" s="10">
        <v>4.87E-2</v>
      </c>
      <c r="S16" s="10">
        <v>0</v>
      </c>
      <c r="T16" s="10">
        <v>0</v>
      </c>
      <c r="U16" s="10">
        <v>0</v>
      </c>
      <c r="V16" s="10">
        <v>5.6300000000000003E-2</v>
      </c>
      <c r="W16" s="10">
        <v>5.9299999999999999E-2</v>
      </c>
      <c r="X16" s="10">
        <v>0</v>
      </c>
      <c r="Y16" s="10">
        <v>0</v>
      </c>
      <c r="Z16" s="10">
        <v>0</v>
      </c>
      <c r="AA16" s="10">
        <v>4.6699999999999998E-2</v>
      </c>
      <c r="AB16" s="10">
        <v>0</v>
      </c>
      <c r="AC16" s="10">
        <v>0</v>
      </c>
      <c r="AD16" s="10">
        <v>6.2799999999999995E-2</v>
      </c>
      <c r="AE16" s="10">
        <v>5.3600000000000002E-2</v>
      </c>
      <c r="AF16" s="10">
        <v>4.9200000000000001E-2</v>
      </c>
      <c r="AG16" s="10">
        <v>5.3499999999999999E-2</v>
      </c>
      <c r="AH16" s="10">
        <v>0</v>
      </c>
      <c r="AI16" s="10">
        <v>0</v>
      </c>
      <c r="AJ16" s="10">
        <v>4.9799999999999997E-2</v>
      </c>
      <c r="AK16" s="10">
        <v>0</v>
      </c>
      <c r="AL16" s="10">
        <v>5.7599999999999998E-2</v>
      </c>
      <c r="AM16" s="10">
        <v>5.7200000000000001E-2</v>
      </c>
      <c r="AN16" s="10">
        <v>0</v>
      </c>
      <c r="AO16" s="10">
        <v>5.67E-2</v>
      </c>
      <c r="AP16" s="10">
        <v>5.8799999999999998E-2</v>
      </c>
      <c r="AQ16" s="10">
        <v>5.5800000000000002E-2</v>
      </c>
      <c r="AR16" s="10">
        <v>6.2899999999999998E-2</v>
      </c>
      <c r="AS16" s="10">
        <v>6.4799999999999996E-2</v>
      </c>
      <c r="AT16" s="10">
        <v>5.1999999999999998E-2</v>
      </c>
      <c r="AU16" s="10">
        <v>0</v>
      </c>
      <c r="AV16" s="10">
        <v>0</v>
      </c>
      <c r="AW16" s="10">
        <v>0</v>
      </c>
      <c r="AX16" s="10">
        <v>0</v>
      </c>
      <c r="AY16" s="10">
        <v>6.0600000000000001E-2</v>
      </c>
      <c r="AZ16" s="10">
        <v>0</v>
      </c>
      <c r="BA16" s="10">
        <v>5.5899999999999998E-2</v>
      </c>
      <c r="BB16" s="10">
        <v>0</v>
      </c>
      <c r="BC16" s="10">
        <v>5.9400000000000001E-2</v>
      </c>
      <c r="BD16" s="10">
        <v>6.2300000000000001E-2</v>
      </c>
      <c r="BE16" s="10">
        <v>0</v>
      </c>
      <c r="BF16" s="10">
        <v>4.9200000000000001E-2</v>
      </c>
      <c r="BG16" s="10">
        <v>5.6800000000000003E-2</v>
      </c>
      <c r="BH16" s="10">
        <v>5.45E-2</v>
      </c>
      <c r="BI16" s="10">
        <v>0</v>
      </c>
      <c r="BJ16" s="10">
        <v>0</v>
      </c>
      <c r="BK16" s="10">
        <v>5.0599999999999999E-2</v>
      </c>
      <c r="BL16" s="10">
        <v>0</v>
      </c>
      <c r="BM16" s="10">
        <v>4.3400000000000001E-2</v>
      </c>
      <c r="BN16" s="10">
        <v>0</v>
      </c>
      <c r="BO16" s="10">
        <v>0</v>
      </c>
      <c r="BP16" s="10">
        <v>0</v>
      </c>
      <c r="BQ16" s="10">
        <v>6.0499999999999998E-2</v>
      </c>
      <c r="BR16" s="10">
        <v>4.3799999999999999E-2</v>
      </c>
      <c r="BS16" s="10">
        <v>5.6599999999999998E-2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4.8000000000000001E-2</v>
      </c>
      <c r="CB16" s="10">
        <v>0</v>
      </c>
    </row>
    <row r="17" spans="1:80" x14ac:dyDescent="0.3">
      <c r="A17" s="8" t="s">
        <v>171</v>
      </c>
      <c r="B17" s="10">
        <v>0.60070000000000001</v>
      </c>
      <c r="C17" s="10">
        <v>0</v>
      </c>
      <c r="D17" s="10">
        <v>0.63819999999999999</v>
      </c>
      <c r="E17" s="10">
        <v>0.6411</v>
      </c>
      <c r="F17" s="10">
        <v>0.7</v>
      </c>
      <c r="G17" s="10">
        <v>0</v>
      </c>
      <c r="H17" s="10">
        <v>0.64849999999999997</v>
      </c>
      <c r="I17" s="10">
        <v>0.68520000000000003</v>
      </c>
      <c r="J17" s="10">
        <v>0.65920000000000001</v>
      </c>
      <c r="K17" s="10">
        <v>0.63480000000000003</v>
      </c>
      <c r="L17" s="10">
        <v>0</v>
      </c>
      <c r="M17" s="10">
        <v>0</v>
      </c>
      <c r="N17" s="10">
        <v>0.67500000000000004</v>
      </c>
      <c r="O17" s="10">
        <v>0.64100000000000001</v>
      </c>
      <c r="P17" s="10">
        <v>0.64470000000000005</v>
      </c>
      <c r="Q17" s="10">
        <v>0.66879999999999995</v>
      </c>
      <c r="R17" s="10">
        <v>0.64229999999999998</v>
      </c>
      <c r="S17" s="10">
        <v>0.6321</v>
      </c>
      <c r="T17" s="10">
        <v>0.63629999999999998</v>
      </c>
      <c r="U17" s="10">
        <v>0.65990000000000004</v>
      </c>
      <c r="V17" s="10">
        <v>0.63029999999999997</v>
      </c>
      <c r="W17" s="10">
        <v>0.68320000000000003</v>
      </c>
      <c r="X17" s="10">
        <v>0.64490000000000003</v>
      </c>
      <c r="Y17" s="10">
        <v>0.62290000000000001</v>
      </c>
      <c r="Z17" s="10">
        <v>0</v>
      </c>
      <c r="AA17" s="10">
        <v>0.65659999999999996</v>
      </c>
      <c r="AB17" s="10">
        <v>0.66749999999999998</v>
      </c>
      <c r="AC17" s="10">
        <v>0.62870000000000004</v>
      </c>
      <c r="AD17" s="10">
        <v>0.64670000000000005</v>
      </c>
      <c r="AE17" s="10">
        <v>0.66910000000000003</v>
      </c>
      <c r="AF17" s="10">
        <v>0</v>
      </c>
      <c r="AG17" s="10">
        <v>0.60460000000000003</v>
      </c>
      <c r="AH17" s="10">
        <v>0.63260000000000005</v>
      </c>
      <c r="AI17" s="10">
        <v>0.65190000000000003</v>
      </c>
      <c r="AJ17" s="10">
        <v>0.68600000000000005</v>
      </c>
      <c r="AK17" s="10">
        <v>0.66090000000000004</v>
      </c>
      <c r="AL17" s="10">
        <v>0.63149999999999995</v>
      </c>
      <c r="AM17" s="10">
        <v>0.65759999999999996</v>
      </c>
      <c r="AN17" s="10">
        <v>0</v>
      </c>
      <c r="AO17" s="10">
        <v>0.67569999999999997</v>
      </c>
      <c r="AP17" s="10">
        <v>0.66569999999999996</v>
      </c>
      <c r="AQ17" s="10">
        <v>0.62560000000000004</v>
      </c>
      <c r="AR17" s="10">
        <v>0.60719999999999996</v>
      </c>
      <c r="AS17" s="10">
        <v>0</v>
      </c>
      <c r="AT17" s="10">
        <v>0</v>
      </c>
      <c r="AU17" s="10">
        <v>0.59430000000000005</v>
      </c>
      <c r="AV17" s="10">
        <v>0</v>
      </c>
      <c r="AW17" s="10">
        <v>0.61650000000000005</v>
      </c>
      <c r="AX17" s="10">
        <v>0.66359999999999997</v>
      </c>
      <c r="AY17" s="10">
        <v>0.67789999999999995</v>
      </c>
      <c r="AZ17" s="10">
        <v>0</v>
      </c>
      <c r="BA17" s="10">
        <v>0</v>
      </c>
      <c r="BB17" s="10">
        <v>0.56140000000000001</v>
      </c>
      <c r="BC17" s="10">
        <v>0</v>
      </c>
      <c r="BD17" s="10">
        <v>0.67510000000000003</v>
      </c>
      <c r="BE17" s="10">
        <v>0</v>
      </c>
      <c r="BF17" s="10">
        <v>0</v>
      </c>
      <c r="BG17" s="10">
        <v>0.64580000000000004</v>
      </c>
      <c r="BH17" s="10">
        <v>0.57840000000000003</v>
      </c>
      <c r="BI17" s="10">
        <v>0.5927</v>
      </c>
      <c r="BJ17" s="10">
        <v>0.64419999999999999</v>
      </c>
      <c r="BK17" s="10">
        <v>0.62070000000000003</v>
      </c>
      <c r="BL17" s="10">
        <v>0.62949999999999995</v>
      </c>
      <c r="BM17" s="10">
        <v>0.65569999999999995</v>
      </c>
      <c r="BN17" s="10">
        <v>0</v>
      </c>
      <c r="BO17" s="10">
        <v>0.69130000000000003</v>
      </c>
      <c r="BP17" s="10">
        <v>0.65100000000000002</v>
      </c>
      <c r="BQ17" s="10">
        <v>0.67220000000000002</v>
      </c>
      <c r="BR17" s="10">
        <v>0.63959999999999995</v>
      </c>
      <c r="BS17" s="10">
        <v>0.68769999999999998</v>
      </c>
      <c r="BT17" s="10">
        <v>0.60829999999999995</v>
      </c>
      <c r="BU17" s="10">
        <v>0.6663</v>
      </c>
      <c r="BV17" s="10">
        <v>0.66959999999999997</v>
      </c>
      <c r="BW17" s="10">
        <v>0.65169999999999995</v>
      </c>
      <c r="BX17" s="10">
        <v>0.66120000000000001</v>
      </c>
      <c r="BY17" s="10">
        <v>0.65759999999999996</v>
      </c>
      <c r="BZ17" s="10">
        <v>0</v>
      </c>
      <c r="CA17" s="10">
        <v>0</v>
      </c>
      <c r="CB17" s="10">
        <v>0.61360000000000003</v>
      </c>
    </row>
    <row r="18" spans="1:80" x14ac:dyDescent="0.3">
      <c r="A18" s="8" t="s">
        <v>172</v>
      </c>
      <c r="B18" s="10">
        <v>0.21690000000000001</v>
      </c>
      <c r="C18" s="10">
        <v>0.26029999999999998</v>
      </c>
      <c r="D18" s="10">
        <v>0.25919999999999999</v>
      </c>
      <c r="E18" s="10">
        <v>0.2303</v>
      </c>
      <c r="F18" s="10">
        <v>0.29780000000000001</v>
      </c>
      <c r="G18" s="10">
        <v>0.29680000000000001</v>
      </c>
      <c r="H18" s="10">
        <v>0.25729999999999997</v>
      </c>
      <c r="I18" s="10">
        <v>0.26419999999999999</v>
      </c>
      <c r="J18" s="10">
        <v>0.25490000000000002</v>
      </c>
      <c r="K18" s="10">
        <v>0.26229999999999998</v>
      </c>
      <c r="L18" s="10">
        <v>0.25280000000000002</v>
      </c>
      <c r="M18" s="10">
        <v>0</v>
      </c>
      <c r="N18" s="10">
        <v>0.26340000000000002</v>
      </c>
      <c r="O18" s="10">
        <v>0.248</v>
      </c>
      <c r="P18" s="10">
        <v>0.2651</v>
      </c>
      <c r="Q18" s="10" t="s">
        <v>160</v>
      </c>
      <c r="R18" s="10">
        <v>0</v>
      </c>
      <c r="S18" s="10">
        <v>0</v>
      </c>
      <c r="T18" s="10">
        <v>0</v>
      </c>
      <c r="U18" s="10">
        <v>0.22750000000000001</v>
      </c>
      <c r="V18" s="10">
        <v>0</v>
      </c>
      <c r="W18" s="10">
        <v>0</v>
      </c>
      <c r="X18" s="10">
        <v>0.27250000000000002</v>
      </c>
      <c r="Y18" s="10">
        <v>0.28989999999999999</v>
      </c>
      <c r="Z18" s="10">
        <v>0.28639999999999999</v>
      </c>
      <c r="AA18" s="10">
        <v>0.27579999999999999</v>
      </c>
      <c r="AB18" s="10">
        <v>0</v>
      </c>
      <c r="AC18" s="10">
        <v>0.2828</v>
      </c>
      <c r="AD18" s="10">
        <v>0.26229999999999998</v>
      </c>
      <c r="AE18" s="10">
        <v>0</v>
      </c>
      <c r="AF18" s="10">
        <v>0.28439999999999999</v>
      </c>
      <c r="AG18" s="10">
        <v>0.24929999999999999</v>
      </c>
      <c r="AH18" s="10">
        <v>0.23849999999999999</v>
      </c>
      <c r="AI18" s="10">
        <v>0.26750000000000002</v>
      </c>
      <c r="AJ18" s="10">
        <v>0.2727</v>
      </c>
      <c r="AK18" s="10">
        <v>0.24790000000000001</v>
      </c>
      <c r="AL18" s="10">
        <v>0</v>
      </c>
      <c r="AM18" s="10">
        <v>0.25459999999999999</v>
      </c>
      <c r="AN18" s="10">
        <v>0.2555</v>
      </c>
      <c r="AO18" s="10">
        <v>0.24929999999999999</v>
      </c>
      <c r="AP18" s="10">
        <v>0.29089999999999999</v>
      </c>
      <c r="AQ18" s="10">
        <v>0.25729999999999997</v>
      </c>
      <c r="AR18" s="10">
        <v>0.24010000000000001</v>
      </c>
      <c r="AS18" s="10">
        <v>0.27829999999999999</v>
      </c>
      <c r="AT18" s="10">
        <v>0.22090000000000001</v>
      </c>
      <c r="AU18" s="10">
        <v>0.26129999999999998</v>
      </c>
      <c r="AV18" s="10">
        <v>0.2656</v>
      </c>
      <c r="AW18" s="10">
        <v>0.25440000000000002</v>
      </c>
      <c r="AX18" s="10">
        <v>0.26250000000000001</v>
      </c>
      <c r="AY18" s="10">
        <v>0.23300000000000001</v>
      </c>
      <c r="AZ18" s="10">
        <v>0.29320000000000002</v>
      </c>
      <c r="BA18" s="10">
        <v>0.24079999999999999</v>
      </c>
      <c r="BB18" s="10">
        <v>0.25</v>
      </c>
      <c r="BC18" s="10">
        <v>0.28189999999999998</v>
      </c>
      <c r="BD18" s="10">
        <v>0.22409999999999999</v>
      </c>
      <c r="BE18" s="10">
        <v>0.31230000000000002</v>
      </c>
      <c r="BF18" s="10">
        <v>0.28760000000000002</v>
      </c>
      <c r="BG18" s="10">
        <v>0.27739999999999998</v>
      </c>
      <c r="BH18" s="10">
        <v>0.24379999999999999</v>
      </c>
      <c r="BI18" s="10">
        <v>0.25040000000000001</v>
      </c>
      <c r="BJ18" s="10">
        <v>0</v>
      </c>
      <c r="BK18" s="10">
        <v>0.20300000000000001</v>
      </c>
      <c r="BL18" s="10">
        <v>0.24979999999999999</v>
      </c>
      <c r="BM18" s="10">
        <v>0</v>
      </c>
      <c r="BN18" s="10">
        <v>0.2858</v>
      </c>
      <c r="BO18" s="10">
        <v>0.28689999999999999</v>
      </c>
      <c r="BP18" s="10">
        <v>0.28639999999999999</v>
      </c>
      <c r="BQ18" s="10">
        <v>0.25929999999999997</v>
      </c>
      <c r="BR18" s="10">
        <v>0</v>
      </c>
      <c r="BS18" s="10">
        <v>0.26229999999999998</v>
      </c>
      <c r="BT18" s="10">
        <v>0</v>
      </c>
      <c r="BU18" s="10">
        <v>0.2326</v>
      </c>
      <c r="BV18" s="10">
        <v>0.3165</v>
      </c>
      <c r="BW18" s="10">
        <v>0</v>
      </c>
      <c r="BX18" s="10">
        <v>0.25219999999999998</v>
      </c>
      <c r="BY18" s="10">
        <v>0.21940000000000001</v>
      </c>
      <c r="BZ18" s="10">
        <v>0.26</v>
      </c>
      <c r="CA18" s="10">
        <v>0.27100000000000002</v>
      </c>
      <c r="CB18" s="10">
        <v>0</v>
      </c>
    </row>
    <row r="19" spans="1:80" x14ac:dyDescent="0.3">
      <c r="A19" s="8" t="s">
        <v>173</v>
      </c>
      <c r="B19" s="10">
        <v>0.23780000000000001</v>
      </c>
      <c r="C19" s="10">
        <v>0.2838</v>
      </c>
      <c r="D19" s="10">
        <v>0.29170000000000001</v>
      </c>
      <c r="E19" s="10">
        <v>0.25180000000000002</v>
      </c>
      <c r="F19" s="10">
        <v>0.27429999999999999</v>
      </c>
      <c r="G19" s="10">
        <v>0.2641</v>
      </c>
      <c r="H19" s="10">
        <v>0.28029999999999999</v>
      </c>
      <c r="I19" s="10">
        <v>0.25740000000000002</v>
      </c>
      <c r="J19" s="10">
        <v>0.22409999999999999</v>
      </c>
      <c r="K19" s="10">
        <v>0.28839999999999999</v>
      </c>
      <c r="L19" s="10">
        <v>0.27210000000000001</v>
      </c>
      <c r="M19" s="10">
        <v>0.28179999999999999</v>
      </c>
      <c r="N19" s="10">
        <v>0.26129999999999998</v>
      </c>
      <c r="O19" s="10">
        <v>0.26869999999999999</v>
      </c>
      <c r="P19" s="10">
        <v>0.252</v>
      </c>
      <c r="Q19" s="10">
        <v>0.24199999999999999</v>
      </c>
      <c r="R19" s="10">
        <v>0.2283</v>
      </c>
      <c r="S19" s="10">
        <v>0</v>
      </c>
      <c r="T19" s="10">
        <v>0</v>
      </c>
      <c r="U19" s="10">
        <v>0.2394</v>
      </c>
      <c r="V19" s="10">
        <v>0.2462</v>
      </c>
      <c r="W19" s="10">
        <v>0.23549999999999999</v>
      </c>
      <c r="X19" s="10">
        <v>0.27800000000000002</v>
      </c>
      <c r="Y19" s="10">
        <v>0.25240000000000001</v>
      </c>
      <c r="Z19" s="10">
        <v>0.27800000000000002</v>
      </c>
      <c r="AA19" s="10">
        <v>0.23250000000000001</v>
      </c>
      <c r="AB19" s="10">
        <v>0.22739999999999999</v>
      </c>
      <c r="AC19" s="10">
        <v>0.28029999999999999</v>
      </c>
      <c r="AD19" s="10">
        <v>0.25030000000000002</v>
      </c>
      <c r="AE19" s="10">
        <v>0.20979999999999999</v>
      </c>
      <c r="AF19" s="10">
        <v>0.2661</v>
      </c>
      <c r="AG19" s="10">
        <v>0.25369999999999998</v>
      </c>
      <c r="AH19" s="10">
        <v>0.27339999999999998</v>
      </c>
      <c r="AI19" s="10">
        <v>0.27300000000000002</v>
      </c>
      <c r="AJ19" s="10">
        <v>0.29399999999999998</v>
      </c>
      <c r="AK19" s="10">
        <v>0.28179999999999999</v>
      </c>
      <c r="AL19" s="10">
        <v>0</v>
      </c>
      <c r="AM19" s="10">
        <v>0.26750000000000002</v>
      </c>
      <c r="AN19" s="10">
        <v>0.28170000000000001</v>
      </c>
      <c r="AO19" s="10">
        <v>0.23519999999999999</v>
      </c>
      <c r="AP19" s="10">
        <v>0.2888</v>
      </c>
      <c r="AQ19" s="10">
        <v>0.25819999999999999</v>
      </c>
      <c r="AR19" s="10">
        <v>0.22320000000000001</v>
      </c>
      <c r="AS19" s="10">
        <v>0.25650000000000001</v>
      </c>
      <c r="AT19" s="10">
        <v>0.27429999999999999</v>
      </c>
      <c r="AU19" s="10">
        <v>0.21779999999999999</v>
      </c>
      <c r="AV19" s="10">
        <v>0.27789999999999998</v>
      </c>
      <c r="AW19" s="10">
        <v>0.26129999999999998</v>
      </c>
      <c r="AX19" s="10">
        <v>0.2918</v>
      </c>
      <c r="AY19" s="10">
        <v>0.28050000000000003</v>
      </c>
      <c r="AZ19" s="10">
        <v>0.31630000000000003</v>
      </c>
      <c r="BA19" s="10">
        <v>0.28699999999999998</v>
      </c>
      <c r="BB19" s="10">
        <v>0.26850000000000002</v>
      </c>
      <c r="BC19" s="10">
        <v>0.2422</v>
      </c>
      <c r="BD19" s="10">
        <v>0.2225</v>
      </c>
      <c r="BE19" s="10">
        <v>0.28149999999999997</v>
      </c>
      <c r="BF19" s="10">
        <v>0.28739999999999999</v>
      </c>
      <c r="BG19" s="10">
        <v>0.28770000000000001</v>
      </c>
      <c r="BH19" s="10">
        <v>0.22800000000000001</v>
      </c>
      <c r="BI19" s="10">
        <v>0.26300000000000001</v>
      </c>
      <c r="BJ19" s="10">
        <v>0</v>
      </c>
      <c r="BK19" s="10">
        <v>0.2198</v>
      </c>
      <c r="BL19" s="10">
        <v>0</v>
      </c>
      <c r="BM19" s="10">
        <v>0.25119999999999998</v>
      </c>
      <c r="BN19" s="10">
        <v>0.26050000000000001</v>
      </c>
      <c r="BO19" s="10">
        <v>0.30659999999999998</v>
      </c>
      <c r="BP19" s="10">
        <v>0.26740000000000003</v>
      </c>
      <c r="BQ19" s="10">
        <v>0.18609999999999999</v>
      </c>
      <c r="BR19" s="10">
        <v>0.25259999999999999</v>
      </c>
      <c r="BS19" s="10">
        <v>0.24990000000000001</v>
      </c>
      <c r="BT19" s="10">
        <v>0.27239999999999998</v>
      </c>
      <c r="BU19" s="10">
        <v>0.28089999999999998</v>
      </c>
      <c r="BV19" s="10">
        <v>0.2707</v>
      </c>
      <c r="BW19" s="10">
        <v>0</v>
      </c>
      <c r="BX19" s="10">
        <v>0.27860000000000001</v>
      </c>
      <c r="BY19" s="10">
        <v>0</v>
      </c>
      <c r="BZ19" s="10">
        <v>0.25469999999999998</v>
      </c>
      <c r="CA19" s="10">
        <v>0.27500000000000002</v>
      </c>
      <c r="CB19" s="10">
        <v>0</v>
      </c>
    </row>
    <row r="20" spans="1:80" x14ac:dyDescent="0.3">
      <c r="A20" s="8" t="s">
        <v>174</v>
      </c>
      <c r="B20" s="10">
        <v>0.2266</v>
      </c>
      <c r="C20" s="10">
        <v>0.25090000000000001</v>
      </c>
      <c r="D20" s="10">
        <v>0.2203</v>
      </c>
      <c r="E20" s="10">
        <v>0.22120000000000001</v>
      </c>
      <c r="F20" s="10">
        <v>0.2525</v>
      </c>
      <c r="G20" s="10">
        <v>0.2601</v>
      </c>
      <c r="H20" s="10">
        <v>0.24340000000000001</v>
      </c>
      <c r="I20" s="10">
        <v>0</v>
      </c>
      <c r="J20" s="10">
        <v>0.2268</v>
      </c>
      <c r="K20" s="10">
        <v>0.25130000000000002</v>
      </c>
      <c r="L20" s="10">
        <v>0.2346</v>
      </c>
      <c r="M20" s="10">
        <v>0.26939999999999997</v>
      </c>
      <c r="N20" s="10">
        <v>0.24099999999999999</v>
      </c>
      <c r="O20" s="10">
        <v>0.23599999999999999</v>
      </c>
      <c r="P20" s="10">
        <v>0.2286</v>
      </c>
      <c r="Q20" s="10">
        <v>0</v>
      </c>
      <c r="R20" s="10">
        <v>0</v>
      </c>
      <c r="S20" s="10">
        <v>0</v>
      </c>
      <c r="T20" s="10">
        <v>0.22370000000000001</v>
      </c>
      <c r="U20" s="10">
        <v>0</v>
      </c>
      <c r="V20" s="10">
        <v>0.22500000000000001</v>
      </c>
      <c r="W20" s="10">
        <v>0.23219999999999999</v>
      </c>
      <c r="X20" s="10">
        <v>0.24970000000000001</v>
      </c>
      <c r="Y20" s="10">
        <v>0.2331</v>
      </c>
      <c r="Z20" s="10">
        <v>0.25640000000000002</v>
      </c>
      <c r="AA20" s="10">
        <v>0.24629999999999999</v>
      </c>
      <c r="AB20" s="10">
        <v>0.22750000000000001</v>
      </c>
      <c r="AC20" s="10">
        <v>0.27150000000000002</v>
      </c>
      <c r="AD20" s="10">
        <v>0.2437</v>
      </c>
      <c r="AE20" s="10">
        <v>0</v>
      </c>
      <c r="AF20" s="10">
        <v>0.26179999999999998</v>
      </c>
      <c r="AG20" s="10">
        <v>0.2447</v>
      </c>
      <c r="AH20" s="10">
        <v>0.23569999999999999</v>
      </c>
      <c r="AI20" s="10">
        <v>0.25069999999999998</v>
      </c>
      <c r="AJ20" s="10">
        <v>0.25569999999999998</v>
      </c>
      <c r="AK20" s="10">
        <v>0.25090000000000001</v>
      </c>
      <c r="AL20" s="10">
        <v>0</v>
      </c>
      <c r="AM20" s="10">
        <v>0.24049999999999999</v>
      </c>
      <c r="AN20" s="10">
        <v>0.2535</v>
      </c>
      <c r="AO20" s="10">
        <v>0.2492</v>
      </c>
      <c r="AP20" s="10">
        <v>0.24979999999999999</v>
      </c>
      <c r="AQ20" s="10">
        <v>0</v>
      </c>
      <c r="AR20" s="10">
        <v>0.2344</v>
      </c>
      <c r="AS20" s="10">
        <v>0.22750000000000001</v>
      </c>
      <c r="AT20" s="10">
        <v>0.22900000000000001</v>
      </c>
      <c r="AU20" s="10">
        <v>0.2235</v>
      </c>
      <c r="AV20" s="10">
        <v>0.26700000000000002</v>
      </c>
      <c r="AW20" s="10">
        <v>0.24909999999999999</v>
      </c>
      <c r="AX20" s="10">
        <v>0.26079999999999998</v>
      </c>
      <c r="AY20" s="10">
        <v>0.22889999999999999</v>
      </c>
      <c r="AZ20" s="10">
        <v>0.2717</v>
      </c>
      <c r="BA20" s="10">
        <v>0.251</v>
      </c>
      <c r="BB20" s="10">
        <v>0.24199999999999999</v>
      </c>
      <c r="BC20" s="10">
        <v>0.24529999999999999</v>
      </c>
      <c r="BD20" s="10">
        <v>0.2235</v>
      </c>
      <c r="BE20" s="10">
        <v>0.26900000000000002</v>
      </c>
      <c r="BF20" s="10">
        <v>0.2399</v>
      </c>
      <c r="BG20" s="10">
        <v>0.2447</v>
      </c>
      <c r="BH20" s="10">
        <v>0</v>
      </c>
      <c r="BI20" s="10">
        <v>0.2419</v>
      </c>
      <c r="BJ20" s="10">
        <v>0</v>
      </c>
      <c r="BK20" s="10">
        <v>0.22770000000000001</v>
      </c>
      <c r="BL20" s="10">
        <v>0</v>
      </c>
      <c r="BM20" s="10">
        <v>0</v>
      </c>
      <c r="BN20" s="10">
        <v>0.26029999999999998</v>
      </c>
      <c r="BO20" s="10">
        <v>0.26400000000000001</v>
      </c>
      <c r="BP20" s="10">
        <v>0.26900000000000002</v>
      </c>
      <c r="BQ20" s="10">
        <v>0</v>
      </c>
      <c r="BR20" s="10">
        <v>0.25690000000000002</v>
      </c>
      <c r="BS20" s="10">
        <v>0.26889999999999997</v>
      </c>
      <c r="BT20" s="10">
        <v>0.24030000000000001</v>
      </c>
      <c r="BU20" s="10">
        <v>0.27139999999999997</v>
      </c>
      <c r="BV20" s="10">
        <v>0.26860000000000001</v>
      </c>
      <c r="BW20" s="10">
        <v>0.23810000000000001</v>
      </c>
      <c r="BX20" s="10">
        <v>0.2702</v>
      </c>
      <c r="BY20" s="10">
        <v>0</v>
      </c>
      <c r="BZ20" s="10">
        <v>0.27610000000000001</v>
      </c>
      <c r="CA20" s="10">
        <v>0.25569999999999998</v>
      </c>
      <c r="CB20" s="10">
        <v>0</v>
      </c>
    </row>
    <row r="21" spans="1:80" x14ac:dyDescent="0.3">
      <c r="A21" s="8" t="s">
        <v>175</v>
      </c>
      <c r="B21" s="10">
        <v>0.14299999999999999</v>
      </c>
      <c r="C21" s="10">
        <v>0.1812</v>
      </c>
      <c r="D21" s="10">
        <v>0.15509999999999999</v>
      </c>
      <c r="E21" s="10">
        <v>0.1477</v>
      </c>
      <c r="F21" s="10">
        <v>0.1983</v>
      </c>
      <c r="G21" s="10">
        <v>0.18790000000000001</v>
      </c>
      <c r="H21" s="10">
        <v>0.1817</v>
      </c>
      <c r="I21" s="10">
        <v>0.17199999999999999</v>
      </c>
      <c r="J21" s="10">
        <v>0</v>
      </c>
      <c r="K21" s="10">
        <v>0.1779</v>
      </c>
      <c r="L21" s="10">
        <v>0.1522</v>
      </c>
      <c r="M21" s="10">
        <v>0</v>
      </c>
      <c r="N21" s="10">
        <v>0.14829999999999999</v>
      </c>
      <c r="O21" s="10">
        <v>0.15959999999999999</v>
      </c>
      <c r="P21" s="10">
        <v>0.15340000000000001</v>
      </c>
      <c r="Q21" s="10">
        <v>0.1454</v>
      </c>
      <c r="R21" s="10">
        <v>0.16850000000000001</v>
      </c>
      <c r="S21" s="10">
        <v>0</v>
      </c>
      <c r="T21" s="10">
        <v>0.1512</v>
      </c>
      <c r="U21" s="10">
        <v>0.14169999999999999</v>
      </c>
      <c r="V21" s="10">
        <v>0</v>
      </c>
      <c r="W21" s="10">
        <v>0.15190000000000001</v>
      </c>
      <c r="X21" s="10">
        <v>0.17760000000000001</v>
      </c>
      <c r="Y21" s="10">
        <v>0.18210000000000001</v>
      </c>
      <c r="Z21" s="10">
        <v>0.19159999999999999</v>
      </c>
      <c r="AA21" s="10">
        <v>0.15409999999999999</v>
      </c>
      <c r="AB21" s="10">
        <v>0.1386</v>
      </c>
      <c r="AC21" s="10">
        <v>0.18629999999999999</v>
      </c>
      <c r="AD21" s="10">
        <v>0.158</v>
      </c>
      <c r="AE21" s="10">
        <v>0</v>
      </c>
      <c r="AF21" s="10">
        <v>0.17510000000000001</v>
      </c>
      <c r="AG21" s="10">
        <v>0.15110000000000001</v>
      </c>
      <c r="AH21" s="10">
        <v>0.18</v>
      </c>
      <c r="AI21" s="10">
        <v>0.18679999999999999</v>
      </c>
      <c r="AJ21" s="10">
        <v>0.17910000000000001</v>
      </c>
      <c r="AK21" s="10">
        <v>0.17460000000000001</v>
      </c>
      <c r="AL21" s="10">
        <v>0.1358</v>
      </c>
      <c r="AM21" s="10">
        <v>0.1603</v>
      </c>
      <c r="AN21" s="10">
        <v>0.17699999999999999</v>
      </c>
      <c r="AO21" s="10">
        <v>0.15679999999999999</v>
      </c>
      <c r="AP21" s="10">
        <v>0.15640000000000001</v>
      </c>
      <c r="AQ21" s="10">
        <v>0.15609999999999999</v>
      </c>
      <c r="AR21" s="10">
        <v>0.1479</v>
      </c>
      <c r="AS21" s="10">
        <v>0.15609999999999999</v>
      </c>
      <c r="AT21" s="10">
        <v>0.16089999999999999</v>
      </c>
      <c r="AU21" s="10">
        <v>0.14050000000000001</v>
      </c>
      <c r="AV21" s="10">
        <v>0.18790000000000001</v>
      </c>
      <c r="AW21" s="10">
        <v>0.17730000000000001</v>
      </c>
      <c r="AX21" s="10">
        <v>0.18190000000000001</v>
      </c>
      <c r="AY21" s="10">
        <v>0.1512</v>
      </c>
      <c r="AZ21" s="10">
        <v>0.189</v>
      </c>
      <c r="BA21" s="10">
        <v>0.152</v>
      </c>
      <c r="BB21" s="10">
        <v>0.17749999999999999</v>
      </c>
      <c r="BC21" s="10">
        <v>0.16200000000000001</v>
      </c>
      <c r="BD21" s="10">
        <v>0.1525</v>
      </c>
      <c r="BE21" s="10">
        <v>0.18</v>
      </c>
      <c r="BF21" s="10">
        <v>0.17879999999999999</v>
      </c>
      <c r="BG21" s="10">
        <v>0.16370000000000001</v>
      </c>
      <c r="BH21" s="10">
        <v>0.13980000000000001</v>
      </c>
      <c r="BI21" s="10">
        <v>0.1827</v>
      </c>
      <c r="BJ21" s="10">
        <v>0.14299999999999999</v>
      </c>
      <c r="BK21" s="10">
        <v>0.14580000000000001</v>
      </c>
      <c r="BL21" s="10">
        <v>0.1502</v>
      </c>
      <c r="BM21" s="10">
        <v>0.17519999999999999</v>
      </c>
      <c r="BN21" s="10">
        <v>0.1825</v>
      </c>
      <c r="BO21" s="10">
        <v>0.17749999999999999</v>
      </c>
      <c r="BP21" s="10">
        <v>0.17929999999999999</v>
      </c>
      <c r="BQ21" s="10">
        <v>0.152</v>
      </c>
      <c r="BR21" s="10">
        <v>0.16350000000000001</v>
      </c>
      <c r="BS21" s="10">
        <v>0.182</v>
      </c>
      <c r="BT21" s="10">
        <v>0.1608</v>
      </c>
      <c r="BU21" s="10">
        <v>0.17730000000000001</v>
      </c>
      <c r="BV21" s="10">
        <v>0.18029999999999999</v>
      </c>
      <c r="BW21" s="10">
        <v>0.1482</v>
      </c>
      <c r="BX21" s="10">
        <v>0.1799</v>
      </c>
      <c r="BY21" s="10">
        <v>0.151</v>
      </c>
      <c r="BZ21" s="10">
        <v>0.1797</v>
      </c>
      <c r="CA21" s="10">
        <v>0.1696</v>
      </c>
      <c r="CB21" s="10">
        <v>0</v>
      </c>
    </row>
    <row r="22" spans="1:80" x14ac:dyDescent="0.3">
      <c r="A22" s="8" t="s">
        <v>176</v>
      </c>
      <c r="B22" s="10">
        <v>0.1585</v>
      </c>
      <c r="C22" s="10">
        <v>0.16950000000000001</v>
      </c>
      <c r="D22" s="10">
        <v>0.1525</v>
      </c>
      <c r="E22" s="10">
        <v>0.1575</v>
      </c>
      <c r="F22" s="10">
        <v>0.18149999999999999</v>
      </c>
      <c r="G22" s="10">
        <v>0.18129999999999999</v>
      </c>
      <c r="H22" s="10">
        <v>0.16839999999999999</v>
      </c>
      <c r="I22" s="10">
        <v>0.1855</v>
      </c>
      <c r="J22" s="10">
        <v>0.15540000000000001</v>
      </c>
      <c r="K22" s="10">
        <v>0.17369999999999999</v>
      </c>
      <c r="L22" s="10">
        <v>0.17349999999999999</v>
      </c>
      <c r="M22" s="10">
        <v>0.1837</v>
      </c>
      <c r="N22" s="10">
        <v>0.17319999999999999</v>
      </c>
      <c r="O22" s="10">
        <v>0.16489999999999999</v>
      </c>
      <c r="P22" s="10">
        <v>0.16589999999999999</v>
      </c>
      <c r="Q22" s="10">
        <v>0.15740000000000001</v>
      </c>
      <c r="R22" s="10">
        <v>0.18329999999999999</v>
      </c>
      <c r="S22" s="10">
        <v>0</v>
      </c>
      <c r="T22" s="10">
        <v>0.15359999999999999</v>
      </c>
      <c r="U22" s="10">
        <v>0.16539999999999999</v>
      </c>
      <c r="V22" s="10">
        <v>0.16189999999999999</v>
      </c>
      <c r="W22" s="10">
        <v>0.16450000000000001</v>
      </c>
      <c r="X22" s="10">
        <v>0.1734</v>
      </c>
      <c r="Y22" s="10">
        <v>0.17430000000000001</v>
      </c>
      <c r="Z22" s="10">
        <v>0.18149999999999999</v>
      </c>
      <c r="AA22" s="10">
        <v>0.17280000000000001</v>
      </c>
      <c r="AB22" s="10">
        <v>0</v>
      </c>
      <c r="AC22" s="10">
        <v>0.185</v>
      </c>
      <c r="AD22" s="10">
        <v>0.1724</v>
      </c>
      <c r="AE22" s="10">
        <v>0.15409999999999999</v>
      </c>
      <c r="AF22" s="10">
        <v>0.1774</v>
      </c>
      <c r="AG22" s="10">
        <v>0.1666</v>
      </c>
      <c r="AH22" s="10">
        <v>0.17100000000000001</v>
      </c>
      <c r="AI22" s="10">
        <v>0.16600000000000001</v>
      </c>
      <c r="AJ22" s="10">
        <v>0.1845</v>
      </c>
      <c r="AK22" s="10">
        <v>0.17219999999999999</v>
      </c>
      <c r="AL22" s="10">
        <v>0.15409999999999999</v>
      </c>
      <c r="AM22" s="10">
        <v>0.1691</v>
      </c>
      <c r="AN22" s="10">
        <v>0.17269999999999999</v>
      </c>
      <c r="AO22" s="10">
        <v>0.1636</v>
      </c>
      <c r="AP22" s="10">
        <v>0.1656</v>
      </c>
      <c r="AQ22" s="10">
        <v>0.1706</v>
      </c>
      <c r="AR22" s="10">
        <v>0.1668</v>
      </c>
      <c r="AS22" s="10">
        <v>0.16619999999999999</v>
      </c>
      <c r="AT22" s="10">
        <v>0.1729</v>
      </c>
      <c r="AU22" s="10">
        <v>0.16339999999999999</v>
      </c>
      <c r="AV22" s="10">
        <v>0.1802</v>
      </c>
      <c r="AW22" s="10">
        <v>0.17100000000000001</v>
      </c>
      <c r="AX22" s="10">
        <v>0.17799999999999999</v>
      </c>
      <c r="AY22" s="10">
        <v>0.17660000000000001</v>
      </c>
      <c r="AZ22" s="10">
        <v>0.18110000000000001</v>
      </c>
      <c r="BA22" s="10">
        <v>0.16880000000000001</v>
      </c>
      <c r="BB22" s="10">
        <v>0.1673</v>
      </c>
      <c r="BC22" s="10">
        <v>0.1658</v>
      </c>
      <c r="BD22" s="10">
        <v>0.15670000000000001</v>
      </c>
      <c r="BE22" s="10">
        <v>0.17979999999999999</v>
      </c>
      <c r="BF22" s="10">
        <v>0.17</v>
      </c>
      <c r="BG22" s="10">
        <v>0.1777</v>
      </c>
      <c r="BH22" s="10">
        <v>0.15579999999999999</v>
      </c>
      <c r="BI22" s="10">
        <v>0.17699999999999999</v>
      </c>
      <c r="BJ22" s="10">
        <v>0.16200000000000001</v>
      </c>
      <c r="BK22" s="10">
        <v>0.1578</v>
      </c>
      <c r="BL22" s="10">
        <v>0.17430000000000001</v>
      </c>
      <c r="BM22" s="10">
        <v>0.1721</v>
      </c>
      <c r="BN22" s="10">
        <v>0.18290000000000001</v>
      </c>
      <c r="BO22" s="10">
        <v>0.18429999999999999</v>
      </c>
      <c r="BP22" s="10">
        <v>0.18590000000000001</v>
      </c>
      <c r="BQ22" s="10">
        <v>0.1721</v>
      </c>
      <c r="BR22" s="10">
        <v>0.1762</v>
      </c>
      <c r="BS22" s="10">
        <v>0.1817</v>
      </c>
      <c r="BT22" s="10">
        <v>0.17380000000000001</v>
      </c>
      <c r="BU22" s="10">
        <v>0.18210000000000001</v>
      </c>
      <c r="BV22" s="10">
        <v>0.18809999999999999</v>
      </c>
      <c r="BW22" s="10">
        <v>0.1726</v>
      </c>
      <c r="BX22" s="10">
        <v>0.18809999999999999</v>
      </c>
      <c r="BY22" s="10">
        <v>0.17710000000000001</v>
      </c>
      <c r="BZ22" s="10">
        <v>0.18290000000000001</v>
      </c>
      <c r="CA22" s="10">
        <v>0.1862</v>
      </c>
      <c r="CB22" s="10">
        <v>0.15870000000000001</v>
      </c>
    </row>
    <row r="23" spans="1:80" x14ac:dyDescent="0.3">
      <c r="A23" s="8" t="s">
        <v>177</v>
      </c>
      <c r="B23" s="10">
        <v>8.6599999999999996E-2</v>
      </c>
      <c r="C23" s="10">
        <v>0.104</v>
      </c>
      <c r="D23" s="10">
        <v>8.6300000000000002E-2</v>
      </c>
      <c r="E23" s="10">
        <v>8.4000000000000005E-2</v>
      </c>
      <c r="F23" s="10">
        <v>9.7199999999999995E-2</v>
      </c>
      <c r="G23" s="10">
        <v>9.4600000000000004E-2</v>
      </c>
      <c r="H23" s="10">
        <v>9.0700000000000003E-2</v>
      </c>
      <c r="I23" s="10">
        <v>0</v>
      </c>
      <c r="J23" s="10">
        <v>8.3500000000000005E-2</v>
      </c>
      <c r="K23" s="10">
        <v>8.8800000000000004E-2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8.4400000000000003E-2</v>
      </c>
      <c r="R23" s="10">
        <v>9.7900000000000001E-2</v>
      </c>
      <c r="S23" s="10">
        <v>8.48E-2</v>
      </c>
      <c r="T23" s="10">
        <v>8.2500000000000004E-2</v>
      </c>
      <c r="U23" s="10">
        <v>8.5599999999999996E-2</v>
      </c>
      <c r="V23" s="10">
        <v>0</v>
      </c>
      <c r="W23" s="10">
        <v>0</v>
      </c>
      <c r="X23" s="10">
        <v>9.0800000000000006E-2</v>
      </c>
      <c r="Y23" s="10">
        <v>8.9300000000000004E-2</v>
      </c>
      <c r="Z23" s="10">
        <v>9.3200000000000005E-2</v>
      </c>
      <c r="AA23" s="10">
        <v>0</v>
      </c>
      <c r="AB23" s="10">
        <v>0</v>
      </c>
      <c r="AC23" s="10">
        <v>9.5500000000000002E-2</v>
      </c>
      <c r="AD23" s="10">
        <v>0</v>
      </c>
      <c r="AE23" s="10">
        <v>8.3199999999999996E-2</v>
      </c>
      <c r="AF23" s="10">
        <v>9.1700000000000004E-2</v>
      </c>
      <c r="AG23" s="10">
        <v>0</v>
      </c>
      <c r="AH23" s="10">
        <v>8.77E-2</v>
      </c>
      <c r="AI23" s="10">
        <v>8.9200000000000002E-2</v>
      </c>
      <c r="AJ23" s="10">
        <v>9.3600000000000003E-2</v>
      </c>
      <c r="AK23" s="10">
        <v>9.3399999999999997E-2</v>
      </c>
      <c r="AL23" s="10">
        <v>0</v>
      </c>
      <c r="AM23" s="10">
        <v>0</v>
      </c>
      <c r="AN23" s="10">
        <v>9.4899999999999998E-2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9.69E-2</v>
      </c>
      <c r="AV23" s="10">
        <v>9.4100000000000003E-2</v>
      </c>
      <c r="AW23" s="10">
        <v>9.35E-2</v>
      </c>
      <c r="AX23" s="10">
        <v>9.9000000000000005E-2</v>
      </c>
      <c r="AY23" s="10">
        <v>0</v>
      </c>
      <c r="AZ23" s="10">
        <v>9.6799999999999997E-2</v>
      </c>
      <c r="BA23" s="10">
        <v>0</v>
      </c>
      <c r="BB23" s="10">
        <v>8.5099999999999995E-2</v>
      </c>
      <c r="BC23" s="10">
        <v>0</v>
      </c>
      <c r="BD23" s="10">
        <v>0</v>
      </c>
      <c r="BE23" s="10">
        <v>9.5600000000000004E-2</v>
      </c>
      <c r="BF23" s="10">
        <v>8.5500000000000007E-2</v>
      </c>
      <c r="BG23" s="10">
        <v>0</v>
      </c>
      <c r="BH23" s="10">
        <v>0</v>
      </c>
      <c r="BI23" s="10">
        <v>9.0999999999999998E-2</v>
      </c>
      <c r="BJ23" s="10">
        <v>0</v>
      </c>
      <c r="BK23" s="10">
        <v>8.5199999999999998E-2</v>
      </c>
      <c r="BL23" s="10">
        <v>8.77E-2</v>
      </c>
      <c r="BM23" s="10">
        <v>0</v>
      </c>
      <c r="BN23" s="10">
        <v>9.9500000000000005E-2</v>
      </c>
      <c r="BO23" s="10">
        <v>9.6699999999999994E-2</v>
      </c>
      <c r="BP23" s="10">
        <v>9.5100000000000004E-2</v>
      </c>
      <c r="BQ23" s="10">
        <v>0</v>
      </c>
      <c r="BR23" s="10">
        <v>0</v>
      </c>
      <c r="BS23" s="10">
        <v>9.5399999999999999E-2</v>
      </c>
      <c r="BT23" s="10">
        <v>8.6800000000000002E-2</v>
      </c>
      <c r="BU23" s="10">
        <v>9.9599999999999994E-2</v>
      </c>
      <c r="BV23" s="10">
        <v>9.4E-2</v>
      </c>
      <c r="BW23" s="10">
        <v>8.6300000000000002E-2</v>
      </c>
      <c r="BX23" s="10">
        <v>9.1800000000000007E-2</v>
      </c>
      <c r="BY23" s="10">
        <v>8.5300000000000001E-2</v>
      </c>
      <c r="BZ23" s="10">
        <v>9.8299999999999998E-2</v>
      </c>
      <c r="CA23" s="10">
        <v>9.64E-2</v>
      </c>
      <c r="CB23" s="10">
        <v>0</v>
      </c>
    </row>
    <row r="24" spans="1:80" x14ac:dyDescent="0.3">
      <c r="A24" s="8" t="s">
        <v>178</v>
      </c>
      <c r="B24" s="10">
        <v>0.2205</v>
      </c>
      <c r="C24" s="10">
        <v>0.27950000000000003</v>
      </c>
      <c r="D24" s="10">
        <v>0.20610000000000001</v>
      </c>
      <c r="E24" s="10">
        <v>0.24110000000000001</v>
      </c>
      <c r="F24" s="10">
        <v>0.27179999999999999</v>
      </c>
      <c r="G24" s="10">
        <v>0.25530000000000003</v>
      </c>
      <c r="H24" s="10">
        <v>0.26479999999999998</v>
      </c>
      <c r="I24" s="10">
        <v>0</v>
      </c>
      <c r="J24" s="10">
        <v>0.21229999999999999</v>
      </c>
      <c r="K24" s="10">
        <v>0.252</v>
      </c>
      <c r="L24" s="10">
        <v>0.24349999999999999</v>
      </c>
      <c r="M24" s="10">
        <v>0</v>
      </c>
      <c r="N24" s="10">
        <v>0.2291</v>
      </c>
      <c r="O24" s="10">
        <v>0.24460000000000001</v>
      </c>
      <c r="P24" s="10">
        <v>0.25280000000000002</v>
      </c>
      <c r="Q24" s="10">
        <v>0</v>
      </c>
      <c r="R24" s="10">
        <v>0.27</v>
      </c>
      <c r="S24" s="10">
        <v>0.23150000000000001</v>
      </c>
      <c r="T24" s="10">
        <v>0</v>
      </c>
      <c r="U24" s="10">
        <v>0.25109999999999999</v>
      </c>
      <c r="V24" s="10">
        <v>0</v>
      </c>
      <c r="W24" s="10">
        <v>0.25629999999999997</v>
      </c>
      <c r="X24" s="10">
        <v>0.2697</v>
      </c>
      <c r="Y24" s="10">
        <v>0.2515</v>
      </c>
      <c r="Z24" s="10">
        <v>0.24940000000000001</v>
      </c>
      <c r="AA24" s="10">
        <v>0.2555</v>
      </c>
      <c r="AB24" s="10">
        <v>0.24299999999999999</v>
      </c>
      <c r="AC24" s="10">
        <v>0.27679999999999999</v>
      </c>
      <c r="AD24" s="10">
        <v>0.25829999999999997</v>
      </c>
      <c r="AE24" s="10">
        <v>0</v>
      </c>
      <c r="AF24" s="10">
        <v>0.25629999999999997</v>
      </c>
      <c r="AG24" s="10">
        <v>0.22850000000000001</v>
      </c>
      <c r="AH24" s="10">
        <v>0.26019999999999999</v>
      </c>
      <c r="AI24" s="10">
        <v>0.2382</v>
      </c>
      <c r="AJ24" s="10">
        <v>0.27929999999999999</v>
      </c>
      <c r="AK24" s="10">
        <v>0.27100000000000002</v>
      </c>
      <c r="AL24" s="10">
        <v>0</v>
      </c>
      <c r="AM24" s="10">
        <v>0.25979999999999998</v>
      </c>
      <c r="AN24" s="10">
        <v>0.26979999999999998</v>
      </c>
      <c r="AO24" s="10">
        <v>0.2591</v>
      </c>
      <c r="AP24" s="10">
        <v>0.2303</v>
      </c>
      <c r="AQ24" s="10">
        <v>0.26240000000000002</v>
      </c>
      <c r="AR24" s="10">
        <v>0.26240000000000002</v>
      </c>
      <c r="AS24" s="10">
        <v>0.26390000000000002</v>
      </c>
      <c r="AT24" s="10">
        <v>0.22919999999999999</v>
      </c>
      <c r="AU24" s="10">
        <v>0.2336</v>
      </c>
      <c r="AV24" s="10">
        <v>0.27260000000000001</v>
      </c>
      <c r="AW24" s="10">
        <v>0.24629999999999999</v>
      </c>
      <c r="AX24" s="10">
        <v>0.27200000000000002</v>
      </c>
      <c r="AY24" s="10">
        <v>0.2581</v>
      </c>
      <c r="AZ24" s="10">
        <v>0.25659999999999999</v>
      </c>
      <c r="BA24" s="10">
        <v>0.23569999999999999</v>
      </c>
      <c r="BB24" s="10">
        <v>0.25609999999999999</v>
      </c>
      <c r="BC24" s="10">
        <v>0.22559999999999999</v>
      </c>
      <c r="BD24" s="10">
        <v>0.24229999999999999</v>
      </c>
      <c r="BE24" s="10">
        <v>0.28160000000000002</v>
      </c>
      <c r="BF24" s="10">
        <v>0.25380000000000003</v>
      </c>
      <c r="BG24" s="10">
        <v>0.24809999999999999</v>
      </c>
      <c r="BH24" s="10">
        <v>0</v>
      </c>
      <c r="BI24" s="10">
        <v>0.26640000000000003</v>
      </c>
      <c r="BJ24" s="10">
        <v>0</v>
      </c>
      <c r="BK24" s="10">
        <v>0.21260000000000001</v>
      </c>
      <c r="BL24" s="10">
        <v>0.2422</v>
      </c>
      <c r="BM24" s="10">
        <v>0.27350000000000002</v>
      </c>
      <c r="BN24" s="10">
        <v>0.26700000000000002</v>
      </c>
      <c r="BO24" s="10">
        <v>0.27460000000000001</v>
      </c>
      <c r="BP24" s="10">
        <v>0.28410000000000002</v>
      </c>
      <c r="BQ24" s="10">
        <v>0.21920000000000001</v>
      </c>
      <c r="BR24" s="10">
        <v>0.24349999999999999</v>
      </c>
      <c r="BS24" s="10">
        <v>0.2646</v>
      </c>
      <c r="BT24" s="10">
        <v>0.2351</v>
      </c>
      <c r="BU24" s="10">
        <v>0.27160000000000001</v>
      </c>
      <c r="BV24" s="10">
        <v>0.27300000000000002</v>
      </c>
      <c r="BW24" s="10">
        <v>0.23</v>
      </c>
      <c r="BX24" s="10">
        <v>0.25869999999999999</v>
      </c>
      <c r="BY24" s="10">
        <v>0.26050000000000001</v>
      </c>
      <c r="BZ24" s="10">
        <v>0.28310000000000002</v>
      </c>
      <c r="CA24" s="10">
        <v>0.26650000000000001</v>
      </c>
      <c r="CB24" s="10">
        <v>0</v>
      </c>
    </row>
    <row r="25" spans="1:80" x14ac:dyDescent="0.3">
      <c r="A25" s="8" t="s">
        <v>179</v>
      </c>
      <c r="B25" s="10">
        <v>9.5299999999999996E-2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0.1022</v>
      </c>
      <c r="M25" s="10">
        <v>0</v>
      </c>
      <c r="N25" s="10">
        <v>0.10440000000000001</v>
      </c>
      <c r="O25" s="10">
        <v>0.10100000000000001</v>
      </c>
      <c r="P25" s="10">
        <v>9.9599999999999994E-2</v>
      </c>
      <c r="Q25" s="10">
        <v>8.9899999999999994E-2</v>
      </c>
      <c r="R25" s="10">
        <v>0</v>
      </c>
      <c r="S25" s="10">
        <v>9.1499999999999998E-2</v>
      </c>
      <c r="T25" s="10">
        <v>0</v>
      </c>
      <c r="U25" s="10">
        <v>9.2200000000000004E-2</v>
      </c>
      <c r="V25" s="10">
        <v>0</v>
      </c>
      <c r="W25" s="10">
        <v>9.5299999999999996E-2</v>
      </c>
      <c r="X25" s="10">
        <v>0</v>
      </c>
      <c r="Y25" s="10">
        <v>0</v>
      </c>
      <c r="Z25" s="10">
        <v>0</v>
      </c>
      <c r="AA25" s="10">
        <v>0</v>
      </c>
      <c r="AB25" s="10">
        <v>9.3200000000000005E-2</v>
      </c>
      <c r="AC25" s="10">
        <v>0</v>
      </c>
      <c r="AD25" s="10">
        <v>9.9900000000000003E-2</v>
      </c>
      <c r="AE25" s="10">
        <v>0</v>
      </c>
      <c r="AF25" s="10">
        <v>0</v>
      </c>
      <c r="AG25" s="10">
        <v>0.10249999999999999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0.1071</v>
      </c>
      <c r="AN25" s="10">
        <v>0</v>
      </c>
      <c r="AO25" s="10">
        <v>0.107</v>
      </c>
      <c r="AP25" s="10">
        <v>0.1036</v>
      </c>
      <c r="AQ25" s="10">
        <v>0.1</v>
      </c>
      <c r="AR25" s="10">
        <v>9.7500000000000003E-2</v>
      </c>
      <c r="AS25" s="10">
        <v>0.1033</v>
      </c>
      <c r="AT25" s="10">
        <v>0.1031</v>
      </c>
      <c r="AU25" s="10">
        <v>9.3100000000000002E-2</v>
      </c>
      <c r="AV25" s="10">
        <v>0</v>
      </c>
      <c r="AW25" s="10">
        <v>0</v>
      </c>
      <c r="AX25" s="10">
        <v>0</v>
      </c>
      <c r="AY25" s="10">
        <v>0.1085</v>
      </c>
      <c r="AZ25" s="10">
        <v>0</v>
      </c>
      <c r="BA25" s="10">
        <v>0.10249999999999999</v>
      </c>
      <c r="BB25" s="10">
        <v>0</v>
      </c>
      <c r="BC25" s="10">
        <v>0.1048</v>
      </c>
      <c r="BD25" s="10">
        <v>0.1016</v>
      </c>
      <c r="BE25" s="10">
        <v>0</v>
      </c>
      <c r="BF25" s="10">
        <v>0</v>
      </c>
      <c r="BG25" s="10">
        <v>0.10589999999999999</v>
      </c>
      <c r="BH25" s="10">
        <v>8.7900000000000006E-2</v>
      </c>
      <c r="BI25" s="10">
        <v>0</v>
      </c>
      <c r="BJ25" s="10">
        <v>9.01E-2</v>
      </c>
      <c r="BK25" s="10">
        <v>0</v>
      </c>
      <c r="BL25" s="10">
        <v>9.8900000000000002E-2</v>
      </c>
      <c r="BM25" s="10">
        <v>0</v>
      </c>
      <c r="BN25" s="10">
        <v>0</v>
      </c>
      <c r="BO25" s="10">
        <v>0</v>
      </c>
      <c r="BP25" s="10">
        <v>0</v>
      </c>
      <c r="BQ25" s="10">
        <v>9.7900000000000001E-2</v>
      </c>
      <c r="BR25" s="10">
        <v>0</v>
      </c>
      <c r="BS25" s="10">
        <v>0</v>
      </c>
      <c r="BT25" s="10">
        <v>9.3799999999999994E-2</v>
      </c>
      <c r="BU25" s="10">
        <v>0</v>
      </c>
      <c r="BV25" s="10">
        <v>0</v>
      </c>
      <c r="BW25" s="10">
        <v>9.4799999999999995E-2</v>
      </c>
      <c r="BX25" s="10">
        <v>0</v>
      </c>
      <c r="BY25" s="10">
        <v>9.6500000000000002E-2</v>
      </c>
      <c r="BZ25" s="10">
        <v>0</v>
      </c>
      <c r="CA25" s="10">
        <v>0.10730000000000001</v>
      </c>
      <c r="CB25" s="10">
        <v>0</v>
      </c>
    </row>
    <row r="26" spans="1:80" x14ac:dyDescent="0.3">
      <c r="A26" s="8" t="s">
        <v>180</v>
      </c>
      <c r="B26" s="10">
        <v>0.24970000000000001</v>
      </c>
      <c r="C26" s="10">
        <v>0.27639999999999998</v>
      </c>
      <c r="D26" s="10">
        <v>0.25690000000000002</v>
      </c>
      <c r="E26" s="10">
        <v>0.27960000000000002</v>
      </c>
      <c r="F26" s="10">
        <v>0.26400000000000001</v>
      </c>
      <c r="G26" s="10">
        <v>0.25440000000000002</v>
      </c>
      <c r="H26" s="10">
        <v>0.25409999999999999</v>
      </c>
      <c r="I26" s="10" t="s">
        <v>160</v>
      </c>
      <c r="J26" s="10">
        <v>0</v>
      </c>
      <c r="K26" s="10">
        <v>0.2681</v>
      </c>
      <c r="L26" s="10">
        <v>0.2888</v>
      </c>
      <c r="M26" s="10">
        <v>0</v>
      </c>
      <c r="N26" s="10">
        <v>0.29320000000000002</v>
      </c>
      <c r="O26" s="10">
        <v>0.27650000000000002</v>
      </c>
      <c r="P26" s="10">
        <v>0.27679999999999999</v>
      </c>
      <c r="Q26" s="10">
        <v>0.26029999999999998</v>
      </c>
      <c r="R26" s="10">
        <v>0.28110000000000002</v>
      </c>
      <c r="S26" s="10">
        <v>0.24349999999999999</v>
      </c>
      <c r="T26" s="10">
        <v>0.22539999999999999</v>
      </c>
      <c r="U26" s="10">
        <v>0.27550000000000002</v>
      </c>
      <c r="V26" s="10">
        <v>0</v>
      </c>
      <c r="W26" s="10">
        <v>0.29020000000000001</v>
      </c>
      <c r="X26" s="10">
        <v>0.26979999999999998</v>
      </c>
      <c r="Y26" s="10">
        <v>0.25180000000000002</v>
      </c>
      <c r="Z26" s="10">
        <v>0</v>
      </c>
      <c r="AA26" s="10">
        <v>0.26190000000000002</v>
      </c>
      <c r="AB26" s="10">
        <v>0.25169999999999998</v>
      </c>
      <c r="AC26" s="10">
        <v>0.2656</v>
      </c>
      <c r="AD26" s="10">
        <v>0.2631</v>
      </c>
      <c r="AE26" s="10">
        <v>0</v>
      </c>
      <c r="AF26" s="10">
        <v>0.27160000000000001</v>
      </c>
      <c r="AG26" s="10">
        <v>0.29930000000000001</v>
      </c>
      <c r="AH26" s="10">
        <v>0.2366</v>
      </c>
      <c r="AI26" s="10">
        <v>0.26219999999999999</v>
      </c>
      <c r="AJ26" s="10">
        <v>0</v>
      </c>
      <c r="AK26" s="10">
        <v>0.27289999999999998</v>
      </c>
      <c r="AL26" s="10">
        <v>0.26690000000000003</v>
      </c>
      <c r="AM26" s="10">
        <v>0.28039999999999998</v>
      </c>
      <c r="AN26" s="10">
        <v>0.26529999999999998</v>
      </c>
      <c r="AO26" s="10">
        <v>0.30299999999999999</v>
      </c>
      <c r="AP26" s="10">
        <v>0.30630000000000002</v>
      </c>
      <c r="AQ26" s="10">
        <v>0.27479999999999999</v>
      </c>
      <c r="AR26" s="10">
        <v>0.27960000000000002</v>
      </c>
      <c r="AS26" s="10">
        <v>0.31080000000000002</v>
      </c>
      <c r="AT26" s="10">
        <v>0.3034</v>
      </c>
      <c r="AU26" s="10">
        <v>0.28849999999999998</v>
      </c>
      <c r="AV26" s="10">
        <v>0.27529999999999999</v>
      </c>
      <c r="AW26" s="10">
        <v>0.28739999999999999</v>
      </c>
      <c r="AX26" s="10">
        <v>0.27739999999999998</v>
      </c>
      <c r="AY26" s="10">
        <v>0.27289999999999998</v>
      </c>
      <c r="AZ26" s="10">
        <v>0.27210000000000001</v>
      </c>
      <c r="BA26" s="10">
        <v>0.3029</v>
      </c>
      <c r="BB26" s="10">
        <v>0.27510000000000001</v>
      </c>
      <c r="BC26" s="10">
        <v>0.29949999999999999</v>
      </c>
      <c r="BD26" s="10">
        <v>0.2777</v>
      </c>
      <c r="BE26" s="10">
        <v>0.27110000000000001</v>
      </c>
      <c r="BF26" s="10">
        <v>0.26069999999999999</v>
      </c>
      <c r="BG26" s="10">
        <v>0.28360000000000002</v>
      </c>
      <c r="BH26" s="10">
        <v>0.24560000000000001</v>
      </c>
      <c r="BI26" s="10">
        <v>0.2576</v>
      </c>
      <c r="BJ26" s="10">
        <v>0.24490000000000001</v>
      </c>
      <c r="BK26" s="10">
        <v>0</v>
      </c>
      <c r="BL26" s="10">
        <v>0.26469999999999999</v>
      </c>
      <c r="BM26" s="10">
        <v>0.26819999999999999</v>
      </c>
      <c r="BN26" s="10">
        <v>0.25490000000000002</v>
      </c>
      <c r="BO26" s="10">
        <v>0.28499999999999998</v>
      </c>
      <c r="BP26" s="10">
        <v>0.28660000000000002</v>
      </c>
      <c r="BQ26" s="10">
        <v>0.2782</v>
      </c>
      <c r="BR26" s="10">
        <v>0.27689999999999998</v>
      </c>
      <c r="BS26" s="10">
        <v>0.2722</v>
      </c>
      <c r="BT26" s="10">
        <v>0.25040000000000001</v>
      </c>
      <c r="BU26" s="10">
        <v>0.2802</v>
      </c>
      <c r="BV26" s="10">
        <v>0.27410000000000001</v>
      </c>
      <c r="BW26" s="10">
        <v>0.2382</v>
      </c>
      <c r="BX26" s="10">
        <v>0.28649999999999998</v>
      </c>
      <c r="BY26" s="10">
        <v>0.2782</v>
      </c>
      <c r="BZ26" s="10">
        <v>0.29170000000000001</v>
      </c>
      <c r="CA26" s="10">
        <v>0.2903</v>
      </c>
      <c r="CB26" s="10">
        <v>0.24340000000000001</v>
      </c>
    </row>
    <row r="27" spans="1:80" x14ac:dyDescent="0.3">
      <c r="A27" s="8" t="s">
        <v>181</v>
      </c>
      <c r="B27" s="10">
        <v>0.62070000000000003</v>
      </c>
      <c r="C27" s="10">
        <v>0.68059999999999998</v>
      </c>
      <c r="D27" s="10" t="s">
        <v>160</v>
      </c>
      <c r="E27" s="10">
        <v>0.61209999999999998</v>
      </c>
      <c r="F27" s="10">
        <v>0</v>
      </c>
      <c r="G27" s="10">
        <v>0.61609999999999998</v>
      </c>
      <c r="H27" s="10">
        <v>0.62719999999999998</v>
      </c>
      <c r="I27" s="10">
        <v>0</v>
      </c>
      <c r="J27" s="10">
        <v>0.64200000000000002</v>
      </c>
      <c r="K27" s="10" t="s">
        <v>160</v>
      </c>
      <c r="L27" s="10">
        <v>0.59570000000000001</v>
      </c>
      <c r="M27" s="10">
        <v>0</v>
      </c>
      <c r="N27" s="10">
        <v>0.69059999999999999</v>
      </c>
      <c r="O27" s="10">
        <v>0.70689999999999997</v>
      </c>
      <c r="P27" s="10">
        <v>0.61460000000000004</v>
      </c>
      <c r="Q27" s="10">
        <v>0.65369999999999995</v>
      </c>
      <c r="R27" s="10">
        <v>0</v>
      </c>
      <c r="S27" s="10">
        <v>0.60119999999999996</v>
      </c>
      <c r="T27" s="10">
        <v>0.6179</v>
      </c>
      <c r="U27" s="10">
        <v>0.68869999999999998</v>
      </c>
      <c r="V27" s="10">
        <v>0</v>
      </c>
      <c r="W27" s="10">
        <v>0.66800000000000004</v>
      </c>
      <c r="X27" s="10">
        <v>0</v>
      </c>
      <c r="Y27" s="10">
        <v>0</v>
      </c>
      <c r="Z27" s="10">
        <v>0.65690000000000004</v>
      </c>
      <c r="AA27" s="10">
        <v>0.67620000000000002</v>
      </c>
      <c r="AB27" s="10">
        <v>0.68020000000000003</v>
      </c>
      <c r="AC27" s="10">
        <v>0</v>
      </c>
      <c r="AD27" s="10">
        <v>0.69779999999999998</v>
      </c>
      <c r="AE27" s="10">
        <v>0.62290000000000001</v>
      </c>
      <c r="AF27" s="10">
        <v>0</v>
      </c>
      <c r="AG27" s="10">
        <v>0</v>
      </c>
      <c r="AH27" s="10">
        <v>0.60899999999999999</v>
      </c>
      <c r="AI27" s="10">
        <v>0.61819999999999997</v>
      </c>
      <c r="AJ27" s="10">
        <v>0</v>
      </c>
      <c r="AK27" s="10">
        <v>0.66349999999999998</v>
      </c>
      <c r="AL27" s="10">
        <v>0.60870000000000002</v>
      </c>
      <c r="AM27" s="10">
        <v>0.67910000000000004</v>
      </c>
      <c r="AN27" s="10">
        <v>0</v>
      </c>
      <c r="AO27" s="10">
        <v>0</v>
      </c>
      <c r="AP27" s="10">
        <v>0.66749999999999998</v>
      </c>
      <c r="AQ27" s="10">
        <v>0.67210000000000003</v>
      </c>
      <c r="AR27" s="10">
        <v>0.64890000000000003</v>
      </c>
      <c r="AS27" s="10">
        <v>0.66739999999999999</v>
      </c>
      <c r="AT27" s="10">
        <v>0.65600000000000003</v>
      </c>
      <c r="AU27" s="10">
        <v>0.66369999999999996</v>
      </c>
      <c r="AV27" s="10">
        <v>0</v>
      </c>
      <c r="AW27" s="10">
        <v>0</v>
      </c>
      <c r="AX27" s="10">
        <v>0.67420000000000002</v>
      </c>
      <c r="AY27" s="10">
        <v>0.67130000000000001</v>
      </c>
      <c r="AZ27" s="10">
        <v>0</v>
      </c>
      <c r="BA27" s="10">
        <v>0.65700000000000003</v>
      </c>
      <c r="BB27" s="10">
        <v>0</v>
      </c>
      <c r="BC27" s="10">
        <v>0.66979999999999995</v>
      </c>
      <c r="BD27" s="10">
        <v>0.66500000000000004</v>
      </c>
      <c r="BE27" s="10">
        <v>0.68369999999999997</v>
      </c>
      <c r="BF27" s="10">
        <v>0.64670000000000005</v>
      </c>
      <c r="BG27" s="10">
        <v>0.68140000000000001</v>
      </c>
      <c r="BH27" s="10">
        <v>0.62780000000000002</v>
      </c>
      <c r="BI27" s="10">
        <v>0</v>
      </c>
      <c r="BJ27" s="10">
        <v>0.62319999999999998</v>
      </c>
      <c r="BK27" s="10">
        <v>0</v>
      </c>
      <c r="BL27" s="10">
        <v>0.72109999999999996</v>
      </c>
      <c r="BM27" s="10">
        <v>0.67720000000000002</v>
      </c>
      <c r="BN27" s="10">
        <v>0</v>
      </c>
      <c r="BO27" s="10">
        <v>0.64570000000000005</v>
      </c>
      <c r="BP27" s="10">
        <v>0.67530000000000001</v>
      </c>
      <c r="BQ27" s="10">
        <v>0.70660000000000001</v>
      </c>
      <c r="BR27" s="10">
        <v>0.67430000000000001</v>
      </c>
      <c r="BS27" s="10">
        <v>0</v>
      </c>
      <c r="BT27" s="10">
        <v>0.68</v>
      </c>
      <c r="BU27" s="10">
        <v>0</v>
      </c>
      <c r="BV27" s="10">
        <v>0</v>
      </c>
      <c r="BW27" s="10">
        <v>0.69020000000000004</v>
      </c>
      <c r="BX27" s="10">
        <v>0</v>
      </c>
      <c r="BY27" s="10">
        <v>0.66349999999999998</v>
      </c>
      <c r="BZ27" s="10">
        <v>0.69550000000000001</v>
      </c>
      <c r="CA27" s="10">
        <v>0.70830000000000004</v>
      </c>
      <c r="CB27" s="10">
        <v>0</v>
      </c>
    </row>
    <row r="28" spans="1:80" x14ac:dyDescent="0.3">
      <c r="A28" s="8" t="s">
        <v>182</v>
      </c>
      <c r="B28" s="10">
        <v>0.1018</v>
      </c>
      <c r="C28" s="10">
        <v>0.1183</v>
      </c>
      <c r="D28" s="10">
        <v>0.1055</v>
      </c>
      <c r="E28" s="10">
        <v>9.7900000000000001E-2</v>
      </c>
      <c r="F28" s="10">
        <v>0.1164</v>
      </c>
      <c r="G28" s="10">
        <v>0.1179</v>
      </c>
      <c r="H28" s="10">
        <v>0</v>
      </c>
      <c r="I28" s="10">
        <v>0</v>
      </c>
      <c r="J28" s="10">
        <v>0</v>
      </c>
      <c r="K28" s="10">
        <v>0</v>
      </c>
      <c r="L28" s="10">
        <v>0.1216</v>
      </c>
      <c r="M28" s="10">
        <v>0</v>
      </c>
      <c r="N28" s="10">
        <v>0.1195</v>
      </c>
      <c r="O28" s="10">
        <v>0.12479999999999999</v>
      </c>
      <c r="P28" s="10">
        <v>0.1193</v>
      </c>
      <c r="Q28" s="10">
        <v>0.1084</v>
      </c>
      <c r="R28" s="10">
        <v>0.11509999999999999</v>
      </c>
      <c r="S28" s="10">
        <v>0.1149</v>
      </c>
      <c r="T28" s="10">
        <v>0</v>
      </c>
      <c r="U28" s="10">
        <v>0.1159</v>
      </c>
      <c r="V28" s="10">
        <v>0.10639999999999999</v>
      </c>
      <c r="W28" s="10">
        <v>0.1084</v>
      </c>
      <c r="X28" s="10">
        <v>0.1125</v>
      </c>
      <c r="Y28" s="10">
        <v>0</v>
      </c>
      <c r="Z28" s="10">
        <v>0</v>
      </c>
      <c r="AA28" s="10">
        <v>0.124</v>
      </c>
      <c r="AB28" s="10">
        <v>0.11260000000000001</v>
      </c>
      <c r="AC28" s="10">
        <v>0.11409999999999999</v>
      </c>
      <c r="AD28" s="10">
        <v>0.1265</v>
      </c>
      <c r="AE28" s="10">
        <v>0</v>
      </c>
      <c r="AF28" s="10">
        <v>0</v>
      </c>
      <c r="AG28" s="10">
        <v>0.12379999999999999</v>
      </c>
      <c r="AH28" s="10">
        <v>0</v>
      </c>
      <c r="AI28" s="10">
        <v>0.107</v>
      </c>
      <c r="AJ28" s="10">
        <v>0.1178</v>
      </c>
      <c r="AK28" s="10">
        <v>0.1133</v>
      </c>
      <c r="AL28" s="10">
        <v>0.1101</v>
      </c>
      <c r="AM28" s="10">
        <v>0.1239</v>
      </c>
      <c r="AN28" s="10">
        <v>0.1169</v>
      </c>
      <c r="AO28" s="10">
        <v>0.1237</v>
      </c>
      <c r="AP28" s="10">
        <v>0.12230000000000001</v>
      </c>
      <c r="AQ28" s="10">
        <v>0.12</v>
      </c>
      <c r="AR28" s="10">
        <v>0.1168</v>
      </c>
      <c r="AS28" s="10">
        <v>0.1245</v>
      </c>
      <c r="AT28" s="10">
        <v>0.122</v>
      </c>
      <c r="AU28" s="10">
        <v>0.1162</v>
      </c>
      <c r="AV28" s="10">
        <v>0</v>
      </c>
      <c r="AW28" s="10">
        <v>0.1163</v>
      </c>
      <c r="AX28" s="10">
        <v>0.1162</v>
      </c>
      <c r="AY28" s="10">
        <v>0.12470000000000001</v>
      </c>
      <c r="AZ28" s="10">
        <v>0</v>
      </c>
      <c r="BA28" s="10">
        <v>0.1193</v>
      </c>
      <c r="BB28" s="10">
        <v>0.1077</v>
      </c>
      <c r="BC28" s="10">
        <v>0.1241</v>
      </c>
      <c r="BD28" s="10">
        <v>0.1216</v>
      </c>
      <c r="BE28" s="10">
        <v>0</v>
      </c>
      <c r="BF28" s="10">
        <v>0.1082</v>
      </c>
      <c r="BG28" s="10">
        <v>0.1245</v>
      </c>
      <c r="BH28" s="10">
        <v>0.1075</v>
      </c>
      <c r="BI28" s="10">
        <v>0.112</v>
      </c>
      <c r="BJ28" s="10">
        <v>0.107</v>
      </c>
      <c r="BK28" s="10">
        <v>0</v>
      </c>
      <c r="BL28" s="10">
        <v>0.1142</v>
      </c>
      <c r="BM28" s="10">
        <v>0.122</v>
      </c>
      <c r="BN28" s="10">
        <v>0.11849999999999999</v>
      </c>
      <c r="BO28" s="10">
        <v>0.11890000000000001</v>
      </c>
      <c r="BP28" s="10">
        <v>0.1168</v>
      </c>
      <c r="BQ28" s="10">
        <v>0.115</v>
      </c>
      <c r="BR28" s="10">
        <v>0.1208</v>
      </c>
      <c r="BS28" s="10">
        <v>0.1138</v>
      </c>
      <c r="BT28" s="10">
        <v>0.11799999999999999</v>
      </c>
      <c r="BU28" s="10">
        <v>0.1232</v>
      </c>
      <c r="BV28" s="10">
        <v>0.12039999999999999</v>
      </c>
      <c r="BW28" s="10">
        <v>0.1181</v>
      </c>
      <c r="BX28" s="10">
        <v>0.11600000000000001</v>
      </c>
      <c r="BY28" s="10">
        <v>0.1113</v>
      </c>
      <c r="BZ28" s="10">
        <v>0.1182</v>
      </c>
      <c r="CA28" s="10">
        <v>0.1295</v>
      </c>
      <c r="CB28" s="10">
        <v>0.11070000000000001</v>
      </c>
    </row>
    <row r="29" spans="1:80" x14ac:dyDescent="0.3">
      <c r="A29" s="8" t="s">
        <v>183</v>
      </c>
      <c r="B29" s="10">
        <v>0.11310000000000001</v>
      </c>
      <c r="C29" s="10">
        <v>0.12239999999999999</v>
      </c>
      <c r="D29" s="10">
        <v>0.10920000000000001</v>
      </c>
      <c r="E29" s="10">
        <v>0.1159</v>
      </c>
      <c r="F29" s="10">
        <v>0.12759999999999999</v>
      </c>
      <c r="G29" s="10">
        <v>0.12709999999999999</v>
      </c>
      <c r="H29" s="10">
        <v>0.1206</v>
      </c>
      <c r="I29" s="10">
        <v>0.13519999999999999</v>
      </c>
      <c r="J29" s="10">
        <v>0</v>
      </c>
      <c r="K29" s="10">
        <v>0.1206</v>
      </c>
      <c r="L29" s="10">
        <v>0.12509999999999999</v>
      </c>
      <c r="M29" s="10">
        <v>0</v>
      </c>
      <c r="N29" s="10">
        <v>0.12570000000000001</v>
      </c>
      <c r="O29" s="10">
        <v>0.1293</v>
      </c>
      <c r="P29" s="10">
        <v>0.12820000000000001</v>
      </c>
      <c r="Q29" s="10">
        <v>0</v>
      </c>
      <c r="R29" s="10">
        <v>0.12659999999999999</v>
      </c>
      <c r="S29" s="10">
        <v>0.12970000000000001</v>
      </c>
      <c r="T29" s="10">
        <v>0.1158</v>
      </c>
      <c r="U29" s="10">
        <v>0.12559999999999999</v>
      </c>
      <c r="V29" s="10">
        <v>0.1176</v>
      </c>
      <c r="W29" s="10">
        <v>0.12939999999999999</v>
      </c>
      <c r="X29" s="10">
        <v>0.12590000000000001</v>
      </c>
      <c r="Y29" s="10">
        <v>0.1237</v>
      </c>
      <c r="Z29" s="10">
        <v>0.1265</v>
      </c>
      <c r="AA29" s="10">
        <v>0.13159999999999999</v>
      </c>
      <c r="AB29" s="10">
        <v>0.12970000000000001</v>
      </c>
      <c r="AC29" s="10">
        <v>0.1227</v>
      </c>
      <c r="AD29" s="10">
        <v>0.13070000000000001</v>
      </c>
      <c r="AE29" s="10">
        <v>0</v>
      </c>
      <c r="AF29" s="10">
        <v>0.12470000000000001</v>
      </c>
      <c r="AG29" s="10">
        <v>0.13089999999999999</v>
      </c>
      <c r="AH29" s="10">
        <v>0.1153</v>
      </c>
      <c r="AI29" s="10">
        <v>0.1191</v>
      </c>
      <c r="AJ29" s="10">
        <v>0.126</v>
      </c>
      <c r="AK29" s="10">
        <v>0.1255</v>
      </c>
      <c r="AL29" s="10">
        <v>0</v>
      </c>
      <c r="AM29" s="10">
        <v>0.12909999999999999</v>
      </c>
      <c r="AN29" s="10">
        <v>0.12470000000000001</v>
      </c>
      <c r="AO29" s="10">
        <v>0.12640000000000001</v>
      </c>
      <c r="AP29" s="10">
        <v>0.12820000000000001</v>
      </c>
      <c r="AQ29" s="10">
        <v>0.12939999999999999</v>
      </c>
      <c r="AR29" s="10">
        <v>0.125</v>
      </c>
      <c r="AS29" s="10">
        <v>0.12989999999999999</v>
      </c>
      <c r="AT29" s="10">
        <v>0.12809999999999999</v>
      </c>
      <c r="AU29" s="10">
        <v>0.1192</v>
      </c>
      <c r="AV29" s="10">
        <v>0.127</v>
      </c>
      <c r="AW29" s="10">
        <v>0.12470000000000001</v>
      </c>
      <c r="AX29" s="10">
        <v>0.129</v>
      </c>
      <c r="AY29" s="10">
        <v>0.12820000000000001</v>
      </c>
      <c r="AZ29" s="10">
        <v>0.12740000000000001</v>
      </c>
      <c r="BA29" s="10">
        <v>0.12759999999999999</v>
      </c>
      <c r="BB29" s="10">
        <v>0.1181</v>
      </c>
      <c r="BC29" s="10">
        <v>0.13089999999999999</v>
      </c>
      <c r="BD29" s="10">
        <v>0.12139999999999999</v>
      </c>
      <c r="BE29" s="10">
        <v>0.1249</v>
      </c>
      <c r="BF29" s="10">
        <v>0.1212</v>
      </c>
      <c r="BG29" s="10">
        <v>0.1293</v>
      </c>
      <c r="BH29" s="10">
        <v>0.1147</v>
      </c>
      <c r="BI29" s="10">
        <v>0.1241</v>
      </c>
      <c r="BJ29" s="10">
        <v>0.1159</v>
      </c>
      <c r="BK29" s="10">
        <v>0.1148</v>
      </c>
      <c r="BL29" s="10">
        <v>0.1331</v>
      </c>
      <c r="BM29" s="10">
        <v>0</v>
      </c>
      <c r="BN29" s="10">
        <v>0.1336</v>
      </c>
      <c r="BO29" s="10">
        <v>0.13170000000000001</v>
      </c>
      <c r="BP29" s="10">
        <v>0.13400000000000001</v>
      </c>
      <c r="BQ29" s="10">
        <v>0.13300000000000001</v>
      </c>
      <c r="BR29" s="10">
        <v>0</v>
      </c>
      <c r="BS29" s="10">
        <v>0.1303</v>
      </c>
      <c r="BT29" s="10">
        <v>0.1328</v>
      </c>
      <c r="BU29" s="10">
        <v>0.1303</v>
      </c>
      <c r="BV29" s="10">
        <v>0.1318</v>
      </c>
      <c r="BW29" s="10">
        <v>0.13320000000000001</v>
      </c>
      <c r="BX29" s="10">
        <v>0.1305</v>
      </c>
      <c r="BY29" s="10">
        <v>0.1318</v>
      </c>
      <c r="BZ29" s="10">
        <v>0.13489999999999999</v>
      </c>
      <c r="CA29" s="10" t="s">
        <v>160</v>
      </c>
      <c r="CB29" s="10">
        <v>0.1162</v>
      </c>
    </row>
    <row r="30" spans="1:80" x14ac:dyDescent="0.3">
      <c r="A30" s="8" t="s">
        <v>184</v>
      </c>
      <c r="B30" s="10">
        <v>0.11990000000000001</v>
      </c>
      <c r="C30" s="10">
        <v>0.13300000000000001</v>
      </c>
      <c r="D30" s="10">
        <v>0.1231</v>
      </c>
      <c r="E30" s="10">
        <v>0.12529999999999999</v>
      </c>
      <c r="F30" s="10">
        <v>0</v>
      </c>
      <c r="G30" s="10">
        <v>0.1356</v>
      </c>
      <c r="H30" s="10">
        <v>0</v>
      </c>
      <c r="I30" s="10">
        <v>0.14069999999999999</v>
      </c>
      <c r="J30" s="10">
        <v>0</v>
      </c>
      <c r="K30" s="10">
        <v>0</v>
      </c>
      <c r="L30" s="10">
        <v>0.13389999999999999</v>
      </c>
      <c r="M30" s="10">
        <v>0</v>
      </c>
      <c r="N30" s="10">
        <v>0.13</v>
      </c>
      <c r="O30" s="10">
        <v>0.1343</v>
      </c>
      <c r="P30" s="10">
        <v>0.13100000000000001</v>
      </c>
      <c r="Q30" s="10">
        <v>0.1231</v>
      </c>
      <c r="R30" s="10">
        <v>0.13250000000000001</v>
      </c>
      <c r="S30" s="10">
        <v>0.13189999999999999</v>
      </c>
      <c r="T30" s="10">
        <v>0</v>
      </c>
      <c r="U30" s="10">
        <v>0.13239999999999999</v>
      </c>
      <c r="V30" s="10">
        <v>0.1229</v>
      </c>
      <c r="W30" s="10">
        <v>0.1331</v>
      </c>
      <c r="X30" s="10">
        <v>0</v>
      </c>
      <c r="Y30" s="10">
        <v>0</v>
      </c>
      <c r="Z30" s="10">
        <v>0</v>
      </c>
      <c r="AA30" s="10">
        <v>0.14119999999999999</v>
      </c>
      <c r="AB30" s="10">
        <v>0.12820000000000001</v>
      </c>
      <c r="AC30" s="10">
        <v>0</v>
      </c>
      <c r="AD30" s="10">
        <v>0.1326</v>
      </c>
      <c r="AE30" s="10">
        <v>0.1245</v>
      </c>
      <c r="AF30" s="10">
        <v>0</v>
      </c>
      <c r="AG30" s="10">
        <v>0.13669999999999999</v>
      </c>
      <c r="AH30" s="10">
        <v>0.124</v>
      </c>
      <c r="AI30" s="10">
        <v>0</v>
      </c>
      <c r="AJ30" s="10">
        <v>0</v>
      </c>
      <c r="AK30" s="10">
        <v>0.1298</v>
      </c>
      <c r="AL30" s="10">
        <v>0.1198</v>
      </c>
      <c r="AM30" s="10">
        <v>0.1338</v>
      </c>
      <c r="AN30" s="10">
        <v>0.13569999999999999</v>
      </c>
      <c r="AO30" s="10">
        <v>0.13700000000000001</v>
      </c>
      <c r="AP30" s="10">
        <v>0.12989999999999999</v>
      </c>
      <c r="AQ30" s="10">
        <v>0.13120000000000001</v>
      </c>
      <c r="AR30" s="10">
        <v>0.1305</v>
      </c>
      <c r="AS30" s="10">
        <v>0.13100000000000001</v>
      </c>
      <c r="AT30" s="10">
        <v>0.13389999999999999</v>
      </c>
      <c r="AU30" s="10">
        <v>0.128</v>
      </c>
      <c r="AV30" s="10">
        <v>0</v>
      </c>
      <c r="AW30" s="10">
        <v>0</v>
      </c>
      <c r="AX30" s="10">
        <v>0</v>
      </c>
      <c r="AY30" s="10">
        <v>0.1326</v>
      </c>
      <c r="AZ30" s="10">
        <v>0</v>
      </c>
      <c r="BA30" s="10">
        <v>0.13120000000000001</v>
      </c>
      <c r="BB30" s="10">
        <v>0</v>
      </c>
      <c r="BC30" s="10">
        <v>0.13389999999999999</v>
      </c>
      <c r="BD30" s="10">
        <v>0.13250000000000001</v>
      </c>
      <c r="BE30" s="10">
        <v>0</v>
      </c>
      <c r="BF30" s="10">
        <v>0</v>
      </c>
      <c r="BG30" s="10">
        <v>0.13819999999999999</v>
      </c>
      <c r="BH30" s="10">
        <v>0.12479999999999999</v>
      </c>
      <c r="BI30" s="10">
        <v>0</v>
      </c>
      <c r="BJ30" s="10">
        <v>0</v>
      </c>
      <c r="BK30" s="10">
        <v>0.1226</v>
      </c>
      <c r="BL30" s="10">
        <v>0.13850000000000001</v>
      </c>
      <c r="BM30" s="10">
        <v>0.13250000000000001</v>
      </c>
      <c r="BN30" s="10">
        <v>0</v>
      </c>
      <c r="BO30" s="10">
        <v>0</v>
      </c>
      <c r="BP30" s="10">
        <v>0.1386</v>
      </c>
      <c r="BQ30" s="10">
        <v>0.13700000000000001</v>
      </c>
      <c r="BR30" s="10">
        <v>0.13919999999999999</v>
      </c>
      <c r="BS30" s="10">
        <v>0</v>
      </c>
      <c r="BT30" s="10">
        <v>0.13780000000000001</v>
      </c>
      <c r="BU30" s="10">
        <v>0</v>
      </c>
      <c r="BV30" s="10">
        <v>0</v>
      </c>
      <c r="BW30" s="10">
        <v>0.13389999999999999</v>
      </c>
      <c r="BX30" s="10">
        <v>0.1414</v>
      </c>
      <c r="BY30" s="10">
        <v>0.13300000000000001</v>
      </c>
      <c r="BZ30" s="10">
        <v>0</v>
      </c>
      <c r="CA30" s="10">
        <v>0.14449999999999999</v>
      </c>
      <c r="CB30" s="10">
        <v>0.1173</v>
      </c>
    </row>
    <row r="31" spans="1:80" x14ac:dyDescent="0.3">
      <c r="A31" s="8" t="s">
        <v>185</v>
      </c>
      <c r="B31" s="10">
        <v>7.5600000000000001E-2</v>
      </c>
      <c r="C31" s="10">
        <v>9.3700000000000006E-2</v>
      </c>
      <c r="D31" s="10">
        <v>7.8E-2</v>
      </c>
      <c r="E31" s="10">
        <v>7.2099999999999997E-2</v>
      </c>
      <c r="F31" s="10">
        <v>0</v>
      </c>
      <c r="G31" s="10">
        <v>0</v>
      </c>
      <c r="H31" s="10">
        <v>0</v>
      </c>
      <c r="I31" s="10">
        <v>0.2571</v>
      </c>
      <c r="J31" s="10">
        <v>8.72E-2</v>
      </c>
      <c r="K31" s="10">
        <v>0</v>
      </c>
      <c r="L31" s="10">
        <v>0.10829999999999999</v>
      </c>
      <c r="M31" s="10">
        <v>0.24929999999999999</v>
      </c>
      <c r="N31" s="10">
        <v>0.111</v>
      </c>
      <c r="O31" s="10">
        <v>0.1193</v>
      </c>
      <c r="P31" s="10">
        <v>0.1177</v>
      </c>
      <c r="Q31" s="10">
        <v>9.11E-2</v>
      </c>
      <c r="R31" s="10">
        <v>9.1200000000000003E-2</v>
      </c>
      <c r="S31" s="10">
        <v>8.9399999999999993E-2</v>
      </c>
      <c r="T31" s="10">
        <v>8.4500000000000006E-2</v>
      </c>
      <c r="U31" s="10">
        <v>8.8400000000000006E-2</v>
      </c>
      <c r="V31" s="10">
        <v>8.3500000000000005E-2</v>
      </c>
      <c r="W31" s="10">
        <v>9.2999999999999999E-2</v>
      </c>
      <c r="X31" s="10">
        <v>0</v>
      </c>
      <c r="Y31" s="10">
        <v>0</v>
      </c>
      <c r="Z31" s="10">
        <v>0</v>
      </c>
      <c r="AA31" s="10">
        <v>0.12470000000000001</v>
      </c>
      <c r="AB31" s="10">
        <v>9.0499999999999997E-2</v>
      </c>
      <c r="AC31" s="10">
        <v>0</v>
      </c>
      <c r="AD31" s="10">
        <v>0.1067</v>
      </c>
      <c r="AE31" s="10">
        <v>8.4599999999999995E-2</v>
      </c>
      <c r="AF31" s="10">
        <v>0</v>
      </c>
      <c r="AG31" s="10">
        <v>0.1027</v>
      </c>
      <c r="AH31" s="10">
        <v>0</v>
      </c>
      <c r="AI31" s="10">
        <v>0</v>
      </c>
      <c r="AJ31" s="10">
        <v>0</v>
      </c>
      <c r="AK31" s="10">
        <v>0</v>
      </c>
      <c r="AL31" s="10">
        <v>8.6099999999999996E-2</v>
      </c>
      <c r="AM31" s="10">
        <v>0.106</v>
      </c>
      <c r="AN31" s="10">
        <v>0.10539999999999999</v>
      </c>
      <c r="AO31" s="10">
        <v>0.10970000000000001</v>
      </c>
      <c r="AP31" s="10">
        <v>0.1051</v>
      </c>
      <c r="AQ31" s="10">
        <v>0.10290000000000001</v>
      </c>
      <c r="AR31" s="10">
        <v>0.1036</v>
      </c>
      <c r="AS31" s="10">
        <v>0.1087</v>
      </c>
      <c r="AT31" s="10">
        <v>0.10349999999999999</v>
      </c>
      <c r="AU31" s="10">
        <v>7.9299999999999995E-2</v>
      </c>
      <c r="AV31" s="10">
        <v>0</v>
      </c>
      <c r="AW31" s="10">
        <v>0</v>
      </c>
      <c r="AX31" s="10">
        <v>0</v>
      </c>
      <c r="AY31" s="10">
        <v>9.8299999999999998E-2</v>
      </c>
      <c r="AZ31" s="10">
        <v>0</v>
      </c>
      <c r="BA31" s="10">
        <v>9.8299999999999998E-2</v>
      </c>
      <c r="BB31" s="10">
        <v>0</v>
      </c>
      <c r="BC31" s="10">
        <v>0.1018</v>
      </c>
      <c r="BD31" s="10">
        <v>0.1004</v>
      </c>
      <c r="BE31" s="10">
        <v>0</v>
      </c>
      <c r="BF31" s="10">
        <v>0</v>
      </c>
      <c r="BG31" s="10">
        <v>0.1037</v>
      </c>
      <c r="BH31" s="10">
        <v>8.8200000000000001E-2</v>
      </c>
      <c r="BI31" s="10">
        <v>0</v>
      </c>
      <c r="BJ31" s="10">
        <v>8.1699999999999995E-2</v>
      </c>
      <c r="BK31" s="10">
        <v>9.0200000000000002E-2</v>
      </c>
      <c r="BL31" s="10">
        <v>7.9200000000000007E-2</v>
      </c>
      <c r="BM31" s="10">
        <v>0.106</v>
      </c>
      <c r="BN31" s="10">
        <v>0.11409999999999999</v>
      </c>
      <c r="BO31" s="10">
        <v>0.1022</v>
      </c>
      <c r="BP31" s="10">
        <v>0.1032</v>
      </c>
      <c r="BQ31" s="10">
        <v>8.2199999999999995E-2</v>
      </c>
      <c r="BR31" s="10">
        <v>0.1132</v>
      </c>
      <c r="BS31" s="10">
        <v>0.1</v>
      </c>
      <c r="BT31" s="10">
        <v>8.8499999999999995E-2</v>
      </c>
      <c r="BU31" s="10">
        <v>0.10680000000000001</v>
      </c>
      <c r="BV31" s="10">
        <v>0.10440000000000001</v>
      </c>
      <c r="BW31" s="10">
        <v>7.9100000000000004E-2</v>
      </c>
      <c r="BX31" s="10">
        <v>0.10340000000000001</v>
      </c>
      <c r="BY31" s="10">
        <v>8.2699999999999996E-2</v>
      </c>
      <c r="BZ31" s="10">
        <v>0.1013</v>
      </c>
      <c r="CA31" s="10">
        <v>0</v>
      </c>
      <c r="CB31" s="10">
        <v>8.14E-2</v>
      </c>
    </row>
    <row r="32" spans="1:80" x14ac:dyDescent="0.3">
      <c r="A32" s="8" t="s">
        <v>186</v>
      </c>
      <c r="B32" s="10">
        <v>5.3900000000000003E-2</v>
      </c>
      <c r="C32" s="10">
        <v>6.0299999999999999E-2</v>
      </c>
      <c r="D32" s="10">
        <v>5.6000000000000001E-2</v>
      </c>
      <c r="E32" s="10">
        <v>5.4899999999999997E-2</v>
      </c>
      <c r="F32" s="10">
        <v>6.08E-2</v>
      </c>
      <c r="G32" s="10">
        <v>6.13E-2</v>
      </c>
      <c r="H32" s="10">
        <v>0</v>
      </c>
      <c r="I32" s="10">
        <v>7.1800000000000003E-2</v>
      </c>
      <c r="J32" s="10">
        <v>5.7799999999999997E-2</v>
      </c>
      <c r="K32" s="10">
        <v>5.7000000000000002E-2</v>
      </c>
      <c r="L32" s="10">
        <v>6.0699999999999997E-2</v>
      </c>
      <c r="M32" s="10">
        <v>7.2999999999999995E-2</v>
      </c>
      <c r="N32" s="10">
        <v>5.9200000000000003E-2</v>
      </c>
      <c r="O32" s="10">
        <v>6.1899999999999997E-2</v>
      </c>
      <c r="P32" s="10">
        <v>5.9400000000000001E-2</v>
      </c>
      <c r="Q32" s="10">
        <v>5.9400000000000001E-2</v>
      </c>
      <c r="R32" s="10">
        <v>6.0900000000000003E-2</v>
      </c>
      <c r="S32" s="10">
        <v>6.3799999999999996E-2</v>
      </c>
      <c r="T32" s="10">
        <v>0</v>
      </c>
      <c r="U32" s="10">
        <v>6.3E-2</v>
      </c>
      <c r="V32" s="10">
        <v>6.0299999999999999E-2</v>
      </c>
      <c r="W32" s="10">
        <v>6.0900000000000003E-2</v>
      </c>
      <c r="X32" s="10">
        <v>6.1899999999999997E-2</v>
      </c>
      <c r="Y32" s="10">
        <v>5.9900000000000002E-2</v>
      </c>
      <c r="Z32" s="10">
        <v>6.3100000000000003E-2</v>
      </c>
      <c r="AA32" s="10">
        <v>8.6099999999999996E-2</v>
      </c>
      <c r="AB32" s="10">
        <v>6.4500000000000002E-2</v>
      </c>
      <c r="AC32" s="10">
        <v>6.3E-2</v>
      </c>
      <c r="AD32" s="10">
        <v>6.3100000000000003E-2</v>
      </c>
      <c r="AE32" s="10">
        <v>0</v>
      </c>
      <c r="AF32" s="10">
        <v>6.2E-2</v>
      </c>
      <c r="AG32" s="10">
        <v>6.3100000000000003E-2</v>
      </c>
      <c r="AH32" s="10">
        <v>5.8599999999999999E-2</v>
      </c>
      <c r="AI32" s="10">
        <v>5.79E-2</v>
      </c>
      <c r="AJ32" s="10">
        <v>6.5100000000000005E-2</v>
      </c>
      <c r="AK32" s="10">
        <v>5.8000000000000003E-2</v>
      </c>
      <c r="AL32" s="10">
        <v>5.7599999999999998E-2</v>
      </c>
      <c r="AM32" s="10">
        <v>6.08E-2</v>
      </c>
      <c r="AN32" s="10">
        <v>6.2E-2</v>
      </c>
      <c r="AO32" s="10">
        <v>6.1899999999999997E-2</v>
      </c>
      <c r="AP32" s="10">
        <v>6.0299999999999999E-2</v>
      </c>
      <c r="AQ32" s="10">
        <v>6.08E-2</v>
      </c>
      <c r="AR32" s="10">
        <v>6.1400000000000003E-2</v>
      </c>
      <c r="AS32" s="10">
        <v>6.0199999999999997E-2</v>
      </c>
      <c r="AT32" s="10">
        <v>6.3100000000000003E-2</v>
      </c>
      <c r="AU32" s="10">
        <v>5.96E-2</v>
      </c>
      <c r="AV32" s="10">
        <v>6.0299999999999999E-2</v>
      </c>
      <c r="AW32" s="10">
        <v>6.6000000000000003E-2</v>
      </c>
      <c r="AX32" s="10">
        <v>6.3899999999999998E-2</v>
      </c>
      <c r="AY32" s="10">
        <v>5.9700000000000003E-2</v>
      </c>
      <c r="AZ32" s="10">
        <v>6.13E-2</v>
      </c>
      <c r="BA32" s="10">
        <v>6.4100000000000004E-2</v>
      </c>
      <c r="BB32" s="10">
        <v>5.8400000000000001E-2</v>
      </c>
      <c r="BC32" s="10">
        <v>5.8999999999999997E-2</v>
      </c>
      <c r="BD32" s="10">
        <v>5.9799999999999999E-2</v>
      </c>
      <c r="BE32" s="10">
        <v>6.1899999999999997E-2</v>
      </c>
      <c r="BF32" s="10">
        <v>5.9299999999999999E-2</v>
      </c>
      <c r="BG32" s="10">
        <v>6.2300000000000001E-2</v>
      </c>
      <c r="BH32" s="10">
        <v>6.2799999999999995E-2</v>
      </c>
      <c r="BI32" s="10">
        <v>6.2799999999999995E-2</v>
      </c>
      <c r="BJ32" s="10">
        <v>5.9400000000000001E-2</v>
      </c>
      <c r="BK32" s="10">
        <v>0</v>
      </c>
      <c r="BL32" s="10">
        <v>6.2300000000000001E-2</v>
      </c>
      <c r="BM32" s="10">
        <v>7.7299999999999994E-2</v>
      </c>
      <c r="BN32" s="10">
        <v>7.0499999999999993E-2</v>
      </c>
      <c r="BO32" s="10">
        <v>7.0099999999999996E-2</v>
      </c>
      <c r="BP32" s="10">
        <v>7.0300000000000001E-2</v>
      </c>
      <c r="BQ32" s="10">
        <v>6.13E-2</v>
      </c>
      <c r="BR32" s="10">
        <v>7.9000000000000001E-2</v>
      </c>
      <c r="BS32" s="10">
        <v>6.7100000000000007E-2</v>
      </c>
      <c r="BT32" s="10">
        <v>6.4799999999999996E-2</v>
      </c>
      <c r="BU32" s="10">
        <v>6.9000000000000006E-2</v>
      </c>
      <c r="BV32" s="10">
        <v>6.8400000000000002E-2</v>
      </c>
      <c r="BW32" s="10">
        <v>6.2700000000000006E-2</v>
      </c>
      <c r="BX32" s="10">
        <v>6.7599999999999993E-2</v>
      </c>
      <c r="BY32" s="10">
        <v>6.6000000000000003E-2</v>
      </c>
      <c r="BZ32" s="10">
        <v>7.1199999999999999E-2</v>
      </c>
      <c r="CA32" s="10">
        <v>8.0199999999999994E-2</v>
      </c>
      <c r="CB32" s="10">
        <v>6.2300000000000001E-2</v>
      </c>
    </row>
    <row r="33" spans="1:80" x14ac:dyDescent="0.3">
      <c r="A33" s="8" t="s">
        <v>187</v>
      </c>
      <c r="B33" s="10">
        <v>8.3099999999999993E-2</v>
      </c>
      <c r="C33" s="10">
        <v>9.2999999999999999E-2</v>
      </c>
      <c r="D33" s="10">
        <v>8.5099999999999995E-2</v>
      </c>
      <c r="E33" s="10">
        <v>8.5000000000000006E-2</v>
      </c>
      <c r="F33" s="10">
        <v>9.1800000000000007E-2</v>
      </c>
      <c r="G33" s="10">
        <v>9.7799999999999998E-2</v>
      </c>
      <c r="H33" s="10">
        <v>0</v>
      </c>
      <c r="I33" s="10">
        <v>0.111</v>
      </c>
      <c r="J33" s="10">
        <v>8.9700000000000002E-2</v>
      </c>
      <c r="K33" s="10">
        <v>0</v>
      </c>
      <c r="L33" s="10">
        <v>9.74E-2</v>
      </c>
      <c r="M33" s="10">
        <v>0.11219999999999999</v>
      </c>
      <c r="N33" s="10">
        <v>9.7199999999999995E-2</v>
      </c>
      <c r="O33" s="10">
        <v>0.1</v>
      </c>
      <c r="P33" s="10">
        <v>9.6500000000000002E-2</v>
      </c>
      <c r="Q33" s="10">
        <v>8.9399999999999993E-2</v>
      </c>
      <c r="R33" s="10">
        <v>0.1221</v>
      </c>
      <c r="S33" s="10">
        <v>9.3700000000000006E-2</v>
      </c>
      <c r="T33" s="10">
        <v>9.3200000000000005E-2</v>
      </c>
      <c r="U33" s="10">
        <v>9.6799999999999997E-2</v>
      </c>
      <c r="V33" s="10">
        <v>9.6100000000000005E-2</v>
      </c>
      <c r="W33" s="10">
        <v>9.64E-2</v>
      </c>
      <c r="X33" s="10">
        <v>9.3600000000000003E-2</v>
      </c>
      <c r="Y33" s="10">
        <v>9.4799999999999995E-2</v>
      </c>
      <c r="Z33" s="10">
        <v>9.2499999999999999E-2</v>
      </c>
      <c r="AA33" s="10">
        <v>0.10979999999999999</v>
      </c>
      <c r="AB33" s="10">
        <v>9.5100000000000004E-2</v>
      </c>
      <c r="AC33" s="10">
        <v>9.4200000000000006E-2</v>
      </c>
      <c r="AD33" s="10">
        <v>9.7500000000000003E-2</v>
      </c>
      <c r="AE33" s="10">
        <v>9.0499999999999997E-2</v>
      </c>
      <c r="AF33" s="10">
        <v>8.9200000000000002E-2</v>
      </c>
      <c r="AG33" s="10">
        <v>9.7500000000000003E-2</v>
      </c>
      <c r="AH33" s="10">
        <v>8.6099999999999996E-2</v>
      </c>
      <c r="AI33" s="10">
        <v>9.0499999999999997E-2</v>
      </c>
      <c r="AJ33" s="10">
        <v>9.5899999999999999E-2</v>
      </c>
      <c r="AK33" s="10">
        <v>0</v>
      </c>
      <c r="AL33" s="10">
        <v>9.0999999999999998E-2</v>
      </c>
      <c r="AM33" s="10">
        <v>0.10150000000000001</v>
      </c>
      <c r="AN33" s="10">
        <v>9.4399999999999998E-2</v>
      </c>
      <c r="AO33" s="10">
        <v>0.1032</v>
      </c>
      <c r="AP33" s="10">
        <v>9.9400000000000002E-2</v>
      </c>
      <c r="AQ33" s="10">
        <v>0.1041</v>
      </c>
      <c r="AR33" s="10">
        <v>9.7799999999999998E-2</v>
      </c>
      <c r="AS33" s="10">
        <v>9.7699999999999995E-2</v>
      </c>
      <c r="AT33" s="10">
        <v>0.1032</v>
      </c>
      <c r="AU33" s="10">
        <v>9.1700000000000004E-2</v>
      </c>
      <c r="AV33" s="10">
        <v>9.6799999999999997E-2</v>
      </c>
      <c r="AW33" s="10">
        <v>9.6199999999999994E-2</v>
      </c>
      <c r="AX33" s="10">
        <v>9.64E-2</v>
      </c>
      <c r="AY33" s="10">
        <v>9.6699999999999994E-2</v>
      </c>
      <c r="AZ33" s="10">
        <v>9.4200000000000006E-2</v>
      </c>
      <c r="BA33" s="10">
        <v>9.7299999999999998E-2</v>
      </c>
      <c r="BB33" s="10">
        <v>9.0999999999999998E-2</v>
      </c>
      <c r="BC33" s="10">
        <v>9.9400000000000002E-2</v>
      </c>
      <c r="BD33" s="10">
        <v>9.4799999999999995E-2</v>
      </c>
      <c r="BE33" s="10">
        <v>9.35E-2</v>
      </c>
      <c r="BF33" s="10">
        <v>9.01E-2</v>
      </c>
      <c r="BG33" s="10">
        <v>9.7799999999999998E-2</v>
      </c>
      <c r="BH33" s="10">
        <v>9.3200000000000005E-2</v>
      </c>
      <c r="BI33" s="10">
        <v>9.5600000000000004E-2</v>
      </c>
      <c r="BJ33" s="10">
        <v>9.3600000000000003E-2</v>
      </c>
      <c r="BK33" s="10">
        <v>9.2100000000000001E-2</v>
      </c>
      <c r="BL33" s="10">
        <v>9.8100000000000007E-2</v>
      </c>
      <c r="BM33" s="10">
        <v>0.1179</v>
      </c>
      <c r="BN33" s="10">
        <v>9.9500000000000005E-2</v>
      </c>
      <c r="BO33" s="10">
        <v>9.8000000000000004E-2</v>
      </c>
      <c r="BP33" s="10">
        <v>9.8799999999999999E-2</v>
      </c>
      <c r="BQ33" s="10">
        <v>9.8699999999999996E-2</v>
      </c>
      <c r="BR33" s="10">
        <v>0.1186</v>
      </c>
      <c r="BS33" s="10">
        <v>9.9699999999999997E-2</v>
      </c>
      <c r="BT33" s="10">
        <v>0.1003</v>
      </c>
      <c r="BU33" s="10">
        <v>0.1007</v>
      </c>
      <c r="BV33" s="10">
        <v>0.1017</v>
      </c>
      <c r="BW33" s="10">
        <v>9.6100000000000005E-2</v>
      </c>
      <c r="BX33" s="10">
        <v>9.9900000000000003E-2</v>
      </c>
      <c r="BY33" s="10">
        <v>9.7000000000000003E-2</v>
      </c>
      <c r="BZ33" s="10">
        <v>0.1024</v>
      </c>
      <c r="CA33" s="10">
        <v>0.1128</v>
      </c>
      <c r="CB33" s="10">
        <v>9.1399999999999995E-2</v>
      </c>
    </row>
    <row r="34" spans="1:80" x14ac:dyDescent="0.3">
      <c r="A34" s="8" t="s">
        <v>0</v>
      </c>
      <c r="B34" s="10">
        <v>0.3367</v>
      </c>
      <c r="C34" s="10">
        <v>0.2031</v>
      </c>
      <c r="D34" s="10">
        <v>0.30030000000000001</v>
      </c>
      <c r="E34" s="10">
        <v>0.316</v>
      </c>
      <c r="F34" s="10">
        <v>0.24399999999999999</v>
      </c>
      <c r="G34" s="10">
        <v>0.21049999999999999</v>
      </c>
      <c r="H34" s="10">
        <v>0.22839999999999999</v>
      </c>
      <c r="I34" s="10">
        <v>0.2142</v>
      </c>
      <c r="J34" s="10">
        <v>0.2349</v>
      </c>
      <c r="K34" s="10">
        <v>0.19370000000000001</v>
      </c>
      <c r="L34" s="10">
        <v>0.26490000000000002</v>
      </c>
      <c r="M34" s="10">
        <v>0.19239999999999999</v>
      </c>
      <c r="N34" s="10">
        <v>0.24779999999999999</v>
      </c>
      <c r="O34" s="10">
        <v>0.25059999999999999</v>
      </c>
      <c r="P34" s="10">
        <v>0</v>
      </c>
      <c r="Q34" s="10">
        <v>0.25180000000000002</v>
      </c>
      <c r="R34" s="10">
        <v>0.23699999999999999</v>
      </c>
      <c r="S34" s="10">
        <v>0.26390000000000002</v>
      </c>
      <c r="T34" s="10">
        <v>0.25569999999999998</v>
      </c>
      <c r="U34" s="10">
        <v>0.26500000000000001</v>
      </c>
      <c r="V34" s="10">
        <v>0</v>
      </c>
      <c r="W34" s="10">
        <v>0.30399999999999999</v>
      </c>
      <c r="X34" s="10">
        <v>0.1719</v>
      </c>
      <c r="Y34" s="10">
        <v>0.192</v>
      </c>
      <c r="Z34" s="10">
        <v>0.20860000000000001</v>
      </c>
      <c r="AA34" s="10">
        <v>0.25850000000000001</v>
      </c>
      <c r="AB34" s="10">
        <v>0.28189999999999998</v>
      </c>
      <c r="AC34" s="10">
        <v>0.2261</v>
      </c>
      <c r="AD34" s="10">
        <v>0</v>
      </c>
      <c r="AE34" s="10">
        <v>0.1903</v>
      </c>
      <c r="AF34" s="10">
        <v>0.17330000000000001</v>
      </c>
      <c r="AG34" s="10">
        <v>0.2208</v>
      </c>
      <c r="AH34" s="10">
        <v>0.28770000000000001</v>
      </c>
      <c r="AI34" s="10">
        <v>0.18940000000000001</v>
      </c>
      <c r="AJ34" s="10">
        <v>0.22189999999999999</v>
      </c>
      <c r="AK34" s="10">
        <v>0.21049999999999999</v>
      </c>
      <c r="AL34" s="10">
        <v>0.20860000000000001</v>
      </c>
      <c r="AM34" s="10">
        <v>0.18790000000000001</v>
      </c>
      <c r="AN34" s="10">
        <v>0.20119999999999999</v>
      </c>
      <c r="AO34" s="10">
        <v>0.2472</v>
      </c>
      <c r="AP34" s="10">
        <v>0.26729999999999998</v>
      </c>
      <c r="AQ34" s="10">
        <v>0.23150000000000001</v>
      </c>
      <c r="AR34" s="10">
        <v>0.2477</v>
      </c>
      <c r="AS34" s="10">
        <v>0.215</v>
      </c>
      <c r="AT34" s="10">
        <v>0.26750000000000002</v>
      </c>
      <c r="AU34" s="10">
        <v>0.23469999999999999</v>
      </c>
      <c r="AV34" s="10">
        <v>0.20050000000000001</v>
      </c>
      <c r="AW34" s="10">
        <v>0.18210000000000001</v>
      </c>
      <c r="AX34" s="10">
        <v>0.22700000000000001</v>
      </c>
      <c r="AY34" s="10">
        <v>0.23569999999999999</v>
      </c>
      <c r="AZ34" s="10">
        <v>0.21410000000000001</v>
      </c>
      <c r="BA34" s="10">
        <v>0.28660000000000002</v>
      </c>
      <c r="BB34" s="10">
        <v>0.22320000000000001</v>
      </c>
      <c r="BC34" s="10">
        <v>0.2311</v>
      </c>
      <c r="BD34" s="10">
        <v>0.22770000000000001</v>
      </c>
      <c r="BE34" s="10">
        <v>0.2198</v>
      </c>
      <c r="BF34" s="10">
        <v>0.18890000000000001</v>
      </c>
      <c r="BG34" s="10">
        <v>0.25750000000000001</v>
      </c>
      <c r="BH34" s="10">
        <v>0.246</v>
      </c>
      <c r="BI34" s="10">
        <v>0.185</v>
      </c>
      <c r="BJ34" s="10">
        <v>0</v>
      </c>
      <c r="BK34" s="10" t="s">
        <v>160</v>
      </c>
      <c r="BL34" s="10">
        <v>0.26769999999999999</v>
      </c>
      <c r="BM34" s="10">
        <v>0.23169999999999999</v>
      </c>
      <c r="BN34" s="10">
        <v>0.2064</v>
      </c>
      <c r="BO34" s="10">
        <v>0.19969999999999999</v>
      </c>
      <c r="BP34" s="10">
        <v>0.21609999999999999</v>
      </c>
      <c r="BQ34" s="10">
        <v>0.23119999999999999</v>
      </c>
      <c r="BR34" s="10">
        <v>0.25919999999999999</v>
      </c>
      <c r="BS34" s="10">
        <v>0.2606</v>
      </c>
      <c r="BT34" s="10">
        <v>0.25740000000000002</v>
      </c>
      <c r="BU34" s="10">
        <v>0.2102</v>
      </c>
      <c r="BV34" s="10">
        <v>0.23419999999999999</v>
      </c>
      <c r="BW34" s="10">
        <v>0</v>
      </c>
      <c r="BX34" s="10">
        <v>0.2334</v>
      </c>
      <c r="BY34" s="10">
        <v>0.26429999999999998</v>
      </c>
      <c r="BZ34" s="10">
        <v>0.22500000000000001</v>
      </c>
      <c r="CA34" s="10">
        <v>0.2276</v>
      </c>
      <c r="CB34" s="10">
        <v>0</v>
      </c>
    </row>
    <row r="35" spans="1:80" x14ac:dyDescent="0.3">
      <c r="A35" s="12" t="s">
        <v>1</v>
      </c>
      <c r="B35" s="11">
        <v>1.18E-2</v>
      </c>
      <c r="C35" s="11">
        <v>1.32E-2</v>
      </c>
      <c r="D35" s="11">
        <v>1.2E-2</v>
      </c>
      <c r="E35" s="11">
        <v>0</v>
      </c>
      <c r="F35" s="11">
        <v>1.3100000000000001E-2</v>
      </c>
      <c r="G35" s="11">
        <v>1.4200000000000001E-2</v>
      </c>
      <c r="H35" s="11">
        <v>1.2699999999999999E-2</v>
      </c>
      <c r="I35" s="11">
        <v>1.84E-2</v>
      </c>
      <c r="J35" s="11">
        <v>0</v>
      </c>
      <c r="K35" s="11">
        <v>1.2800000000000001E-2</v>
      </c>
      <c r="L35" s="11">
        <v>1.2699999999999999E-2</v>
      </c>
      <c r="M35" s="11">
        <v>1.8200000000000001E-2</v>
      </c>
      <c r="N35" s="11">
        <v>1.2999999999999999E-2</v>
      </c>
      <c r="O35" s="11">
        <v>1.43E-2</v>
      </c>
      <c r="P35" s="11">
        <v>1.2999999999999999E-2</v>
      </c>
      <c r="Q35" s="11">
        <v>1.3299999999999999E-2</v>
      </c>
      <c r="R35" s="11">
        <v>1.4200000000000001E-2</v>
      </c>
      <c r="S35" s="11">
        <v>1.3899999999999999E-2</v>
      </c>
      <c r="T35" s="11">
        <v>1.3100000000000001E-2</v>
      </c>
      <c r="U35" s="11">
        <v>1.35E-2</v>
      </c>
      <c r="V35" s="11">
        <v>1.49E-2</v>
      </c>
      <c r="W35" s="11">
        <v>1.2800000000000001E-2</v>
      </c>
      <c r="X35" s="11">
        <v>1.29E-2</v>
      </c>
      <c r="Y35" s="11">
        <v>1.3599999999999999E-2</v>
      </c>
      <c r="Z35" s="11">
        <v>1.3899999999999999E-2</v>
      </c>
      <c r="AA35" s="11">
        <v>1.2800000000000001E-2</v>
      </c>
      <c r="AB35" s="11">
        <v>1.3100000000000001E-2</v>
      </c>
      <c r="AC35" s="11">
        <v>1.38E-2</v>
      </c>
      <c r="AD35" s="11">
        <v>1.2800000000000001E-2</v>
      </c>
      <c r="AE35" s="11">
        <v>0</v>
      </c>
      <c r="AF35" s="11">
        <v>1.38E-2</v>
      </c>
      <c r="AG35" s="11">
        <v>1.3899999999999999E-2</v>
      </c>
      <c r="AH35" s="11">
        <v>1.3100000000000001E-2</v>
      </c>
      <c r="AI35" s="11" t="s">
        <v>160</v>
      </c>
      <c r="AJ35" s="11">
        <v>1.44E-2</v>
      </c>
      <c r="AK35" s="11">
        <v>1.3299999999999999E-2</v>
      </c>
      <c r="AL35" s="11">
        <v>1.4200000000000001E-2</v>
      </c>
      <c r="AM35" s="11">
        <v>1.2800000000000001E-2</v>
      </c>
      <c r="AN35" s="11">
        <v>1.35E-2</v>
      </c>
      <c r="AO35" s="11">
        <v>1.3100000000000001E-2</v>
      </c>
      <c r="AP35" s="11">
        <v>1.3599999999999999E-2</v>
      </c>
      <c r="AQ35" s="11">
        <v>1.35E-2</v>
      </c>
      <c r="AR35" s="11">
        <v>1.2999999999999999E-2</v>
      </c>
      <c r="AS35" s="11">
        <v>1.3599999999999999E-2</v>
      </c>
      <c r="AT35" s="11">
        <v>1.2500000000000001E-2</v>
      </c>
      <c r="AU35" s="11">
        <v>0</v>
      </c>
      <c r="AV35" s="11">
        <v>1.41E-2</v>
      </c>
      <c r="AW35" s="11">
        <v>1.3599999999999999E-2</v>
      </c>
      <c r="AX35" s="11">
        <v>1.41E-2</v>
      </c>
      <c r="AY35" s="11">
        <v>1.2800000000000001E-2</v>
      </c>
      <c r="AZ35" s="11">
        <v>1.46E-2</v>
      </c>
      <c r="BA35" s="11">
        <v>1.3299999999999999E-2</v>
      </c>
      <c r="BB35" s="11">
        <v>1.35E-2</v>
      </c>
      <c r="BC35" s="11">
        <v>1.37E-2</v>
      </c>
      <c r="BD35" s="11">
        <v>1.2800000000000001E-2</v>
      </c>
      <c r="BE35" s="11">
        <v>1.4200000000000001E-2</v>
      </c>
      <c r="BF35" s="11">
        <v>1.34E-2</v>
      </c>
      <c r="BG35" s="11">
        <v>1.3599999999999999E-2</v>
      </c>
      <c r="BH35" s="11">
        <v>1.3299999999999999E-2</v>
      </c>
      <c r="BI35" s="11">
        <v>1.37E-2</v>
      </c>
      <c r="BJ35" s="11">
        <v>0</v>
      </c>
      <c r="BK35" s="11">
        <v>1.2999999999999999E-2</v>
      </c>
      <c r="BL35" s="11">
        <v>1.44E-2</v>
      </c>
      <c r="BM35" s="11">
        <v>1.38E-2</v>
      </c>
      <c r="BN35" s="11">
        <v>1.4E-2</v>
      </c>
      <c r="BO35" s="11">
        <v>1.35E-2</v>
      </c>
      <c r="BP35" s="11">
        <v>1.35E-2</v>
      </c>
      <c r="BQ35" s="11">
        <v>1.44E-2</v>
      </c>
      <c r="BR35" s="11">
        <v>1.41E-2</v>
      </c>
      <c r="BS35" s="11">
        <v>1.47E-2</v>
      </c>
      <c r="BT35" s="11">
        <v>1.44E-2</v>
      </c>
      <c r="BU35" s="11">
        <v>1.37E-2</v>
      </c>
      <c r="BV35" s="11">
        <v>1.44E-2</v>
      </c>
      <c r="BW35" s="11">
        <v>1.41E-2</v>
      </c>
      <c r="BX35" s="11">
        <v>1.41E-2</v>
      </c>
      <c r="BY35" s="11">
        <v>1.46E-2</v>
      </c>
      <c r="BZ35" s="11">
        <v>1.3599999999999999E-2</v>
      </c>
      <c r="CA35" s="11">
        <v>1.3100000000000001E-2</v>
      </c>
      <c r="CB35" s="11">
        <v>1.38E-2</v>
      </c>
    </row>
  </sheetData>
  <mergeCells count="1">
    <mergeCell ref="A1:XF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16DA6-6640-4687-A9B4-540F0192545A}">
  <dimension ref="A1:EE36"/>
  <sheetViews>
    <sheetView showGridLines="0" workbookViewId="0">
      <selection activeCell="B2" sqref="B2"/>
    </sheetView>
  </sheetViews>
  <sheetFormatPr baseColWidth="10" defaultRowHeight="14.4" x14ac:dyDescent="0.3"/>
  <cols>
    <col min="1" max="1" width="8.88671875" style="31" customWidth="1"/>
  </cols>
  <sheetData>
    <row r="1" spans="1:135" s="38" customFormat="1" x14ac:dyDescent="0.3">
      <c r="A1" s="38" t="s">
        <v>878</v>
      </c>
    </row>
    <row r="4" spans="1:135" s="31" customFormat="1" x14ac:dyDescent="0.3"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14</v>
      </c>
      <c r="O4" s="19" t="s">
        <v>15</v>
      </c>
      <c r="P4" s="19" t="s">
        <v>16</v>
      </c>
      <c r="Q4" s="19" t="s">
        <v>17</v>
      </c>
      <c r="R4" s="19" t="s">
        <v>18</v>
      </c>
      <c r="S4" s="19" t="s">
        <v>19</v>
      </c>
      <c r="T4" s="19" t="s">
        <v>20</v>
      </c>
      <c r="U4" s="19" t="s">
        <v>21</v>
      </c>
      <c r="V4" s="19" t="s">
        <v>22</v>
      </c>
      <c r="W4" s="19" t="s">
        <v>23</v>
      </c>
      <c r="X4" s="19" t="s">
        <v>24</v>
      </c>
      <c r="Y4" s="19" t="s">
        <v>25</v>
      </c>
      <c r="Z4" s="19" t="s">
        <v>26</v>
      </c>
      <c r="AA4" s="19" t="s">
        <v>27</v>
      </c>
      <c r="AB4" s="19" t="s">
        <v>28</v>
      </c>
      <c r="AC4" s="19" t="s">
        <v>29</v>
      </c>
      <c r="AD4" s="19" t="s">
        <v>30</v>
      </c>
      <c r="AE4" s="19" t="s">
        <v>31</v>
      </c>
      <c r="AF4" s="19" t="s">
        <v>32</v>
      </c>
      <c r="AG4" s="19" t="s">
        <v>33</v>
      </c>
      <c r="AH4" s="19" t="s">
        <v>34</v>
      </c>
      <c r="AI4" s="19" t="s">
        <v>35</v>
      </c>
      <c r="AJ4" s="19" t="s">
        <v>36</v>
      </c>
      <c r="AK4" s="19" t="s">
        <v>37</v>
      </c>
      <c r="AL4" s="19" t="s">
        <v>38</v>
      </c>
      <c r="AM4" s="19" t="s">
        <v>39</v>
      </c>
      <c r="AN4" s="19" t="s">
        <v>40</v>
      </c>
      <c r="AO4" s="19" t="s">
        <v>41</v>
      </c>
      <c r="AP4" s="19" t="s">
        <v>42</v>
      </c>
      <c r="AQ4" s="19" t="s">
        <v>43</v>
      </c>
      <c r="AR4" s="19" t="s">
        <v>44</v>
      </c>
      <c r="AS4" s="19" t="s">
        <v>45</v>
      </c>
      <c r="AT4" s="19" t="s">
        <v>46</v>
      </c>
      <c r="AU4" s="19" t="s">
        <v>47</v>
      </c>
      <c r="AV4" s="19" t="s">
        <v>48</v>
      </c>
      <c r="AW4" s="19" t="s">
        <v>49</v>
      </c>
      <c r="AX4" s="19" t="s">
        <v>50</v>
      </c>
      <c r="AY4" s="19" t="s">
        <v>51</v>
      </c>
      <c r="AZ4" s="19" t="s">
        <v>52</v>
      </c>
      <c r="BA4" s="19" t="s">
        <v>53</v>
      </c>
      <c r="BB4" s="19" t="s">
        <v>54</v>
      </c>
      <c r="BC4" s="19" t="s">
        <v>55</v>
      </c>
      <c r="BD4" s="19" t="s">
        <v>56</v>
      </c>
      <c r="BE4" s="19" t="s">
        <v>57</v>
      </c>
      <c r="BF4" s="19" t="s">
        <v>58</v>
      </c>
      <c r="BG4" s="19" t="s">
        <v>59</v>
      </c>
      <c r="BH4" s="19" t="s">
        <v>60</v>
      </c>
      <c r="BI4" s="19" t="s">
        <v>61</v>
      </c>
      <c r="BJ4" s="19" t="s">
        <v>62</v>
      </c>
      <c r="BK4" s="19" t="s">
        <v>63</v>
      </c>
      <c r="BL4" s="19" t="s">
        <v>64</v>
      </c>
      <c r="BM4" s="19" t="s">
        <v>65</v>
      </c>
      <c r="BN4" s="19" t="s">
        <v>66</v>
      </c>
      <c r="BO4" s="19" t="s">
        <v>67</v>
      </c>
      <c r="BP4" s="19" t="s">
        <v>68</v>
      </c>
      <c r="BQ4" s="19" t="s">
        <v>69</v>
      </c>
      <c r="BR4" s="19" t="s">
        <v>70</v>
      </c>
      <c r="BS4" s="19" t="s">
        <v>71</v>
      </c>
      <c r="BT4" s="19" t="s">
        <v>72</v>
      </c>
      <c r="BU4" s="19" t="s">
        <v>73</v>
      </c>
      <c r="BV4" s="19" t="s">
        <v>74</v>
      </c>
      <c r="BW4" s="19" t="s">
        <v>75</v>
      </c>
      <c r="BX4" s="17" t="s">
        <v>2</v>
      </c>
      <c r="BY4" s="17" t="s">
        <v>3</v>
      </c>
      <c r="BZ4" s="17" t="s">
        <v>4</v>
      </c>
      <c r="CA4" s="17" t="s">
        <v>5</v>
      </c>
      <c r="CB4" s="17" t="s">
        <v>6</v>
      </c>
      <c r="CC4" s="17" t="s">
        <v>7</v>
      </c>
      <c r="CD4" s="17" t="s">
        <v>8</v>
      </c>
      <c r="CE4" s="17" t="s">
        <v>9</v>
      </c>
      <c r="CF4" s="17" t="s">
        <v>10</v>
      </c>
      <c r="CG4" s="17" t="s">
        <v>11</v>
      </c>
      <c r="CH4" s="17" t="s">
        <v>12</v>
      </c>
      <c r="CI4" s="17" t="s">
        <v>13</v>
      </c>
      <c r="CJ4" s="17" t="s">
        <v>14</v>
      </c>
      <c r="CK4" s="17" t="s">
        <v>15</v>
      </c>
      <c r="CL4" s="17" t="s">
        <v>16</v>
      </c>
      <c r="CM4" s="17" t="s">
        <v>17</v>
      </c>
      <c r="CN4" s="17" t="s">
        <v>18</v>
      </c>
      <c r="CO4" s="17" t="s">
        <v>19</v>
      </c>
      <c r="CP4" s="17" t="s">
        <v>20</v>
      </c>
      <c r="CQ4" s="17" t="s">
        <v>21</v>
      </c>
      <c r="CR4" s="17" t="s">
        <v>22</v>
      </c>
      <c r="CS4" s="17" t="s">
        <v>23</v>
      </c>
      <c r="CT4" s="17" t="s">
        <v>24</v>
      </c>
      <c r="CU4" s="17" t="s">
        <v>25</v>
      </c>
      <c r="CV4" s="17" t="s">
        <v>26</v>
      </c>
      <c r="CW4" s="17" t="s">
        <v>27</v>
      </c>
      <c r="CX4" s="17" t="s">
        <v>28</v>
      </c>
      <c r="CY4" s="17" t="s">
        <v>29</v>
      </c>
      <c r="CZ4" s="17" t="s">
        <v>30</v>
      </c>
      <c r="DA4" s="17" t="s">
        <v>31</v>
      </c>
      <c r="DB4" s="17" t="s">
        <v>32</v>
      </c>
      <c r="DC4" s="17" t="s">
        <v>33</v>
      </c>
      <c r="DD4" s="17" t="s">
        <v>34</v>
      </c>
      <c r="DE4" s="17" t="s">
        <v>35</v>
      </c>
      <c r="DF4" s="17" t="s">
        <v>36</v>
      </c>
      <c r="DG4" s="17" t="s">
        <v>37</v>
      </c>
      <c r="DH4" s="17" t="s">
        <v>38</v>
      </c>
      <c r="DI4" s="17" t="s">
        <v>39</v>
      </c>
      <c r="DJ4" s="17" t="s">
        <v>40</v>
      </c>
      <c r="DK4" s="17" t="s">
        <v>41</v>
      </c>
      <c r="DL4" s="17" t="s">
        <v>42</v>
      </c>
      <c r="DM4" s="17" t="s">
        <v>43</v>
      </c>
      <c r="DN4" s="17" t="s">
        <v>44</v>
      </c>
      <c r="DO4" s="17" t="s">
        <v>45</v>
      </c>
      <c r="DP4" s="17" t="s">
        <v>46</v>
      </c>
      <c r="DQ4" s="17" t="s">
        <v>47</v>
      </c>
      <c r="DR4" s="17" t="s">
        <v>48</v>
      </c>
      <c r="DS4" s="17" t="s">
        <v>49</v>
      </c>
      <c r="DT4" s="17" t="s">
        <v>50</v>
      </c>
      <c r="DU4" s="17" t="s">
        <v>51</v>
      </c>
      <c r="DV4" s="17" t="s">
        <v>52</v>
      </c>
      <c r="DW4" s="17" t="s">
        <v>53</v>
      </c>
      <c r="DX4" s="17" t="s">
        <v>54</v>
      </c>
      <c r="DY4" s="17" t="s">
        <v>55</v>
      </c>
      <c r="DZ4" s="17" t="s">
        <v>56</v>
      </c>
      <c r="EA4" s="17" t="s">
        <v>57</v>
      </c>
      <c r="EB4" s="17" t="s">
        <v>58</v>
      </c>
      <c r="EC4" s="17" t="s">
        <v>59</v>
      </c>
      <c r="ED4" s="17" t="s">
        <v>60</v>
      </c>
      <c r="EE4" s="17" t="s">
        <v>61</v>
      </c>
    </row>
    <row r="5" spans="1:135" s="18" customFormat="1" x14ac:dyDescent="0.3">
      <c r="A5" s="31"/>
      <c r="B5" s="20" t="s">
        <v>607</v>
      </c>
      <c r="C5" s="20" t="s">
        <v>608</v>
      </c>
      <c r="D5" s="20" t="s">
        <v>609</v>
      </c>
      <c r="E5" s="20" t="s">
        <v>610</v>
      </c>
      <c r="F5" s="20" t="s">
        <v>611</v>
      </c>
      <c r="G5" s="20" t="s">
        <v>612</v>
      </c>
      <c r="H5" s="20" t="s">
        <v>613</v>
      </c>
      <c r="I5" s="20" t="s">
        <v>614</v>
      </c>
      <c r="J5" s="20" t="s">
        <v>615</v>
      </c>
      <c r="K5" s="20" t="s">
        <v>616</v>
      </c>
      <c r="L5" s="20" t="s">
        <v>617</v>
      </c>
      <c r="M5" s="20" t="s">
        <v>324</v>
      </c>
      <c r="N5" s="20" t="s">
        <v>325</v>
      </c>
      <c r="O5" s="20" t="s">
        <v>322</v>
      </c>
      <c r="P5" s="20" t="s">
        <v>321</v>
      </c>
      <c r="Q5" s="20" t="s">
        <v>618</v>
      </c>
      <c r="R5" s="20" t="s">
        <v>619</v>
      </c>
      <c r="S5" s="20" t="s">
        <v>620</v>
      </c>
      <c r="T5" s="20" t="s">
        <v>621</v>
      </c>
      <c r="U5" s="20" t="s">
        <v>622</v>
      </c>
      <c r="V5" s="20" t="s">
        <v>623</v>
      </c>
      <c r="W5" s="20" t="s">
        <v>624</v>
      </c>
      <c r="X5" s="20" t="s">
        <v>625</v>
      </c>
      <c r="Y5" s="20" t="s">
        <v>626</v>
      </c>
      <c r="Z5" s="20" t="s">
        <v>627</v>
      </c>
      <c r="AA5" s="20" t="s">
        <v>628</v>
      </c>
      <c r="AB5" s="20" t="s">
        <v>629</v>
      </c>
      <c r="AC5" s="20" t="s">
        <v>630</v>
      </c>
      <c r="AD5" s="20" t="s">
        <v>631</v>
      </c>
      <c r="AE5" s="20" t="s">
        <v>632</v>
      </c>
      <c r="AF5" s="20" t="s">
        <v>633</v>
      </c>
      <c r="AG5" s="20" t="s">
        <v>634</v>
      </c>
      <c r="AH5" s="20" t="s">
        <v>635</v>
      </c>
      <c r="AI5" s="20" t="s">
        <v>636</v>
      </c>
      <c r="AJ5" s="20" t="s">
        <v>637</v>
      </c>
      <c r="AK5" s="20" t="s">
        <v>638</v>
      </c>
      <c r="AL5" s="20" t="s">
        <v>639</v>
      </c>
      <c r="AM5" s="20" t="s">
        <v>640</v>
      </c>
      <c r="AN5" s="20" t="s">
        <v>641</v>
      </c>
      <c r="AO5" s="20" t="s">
        <v>642</v>
      </c>
      <c r="AP5" s="20" t="s">
        <v>643</v>
      </c>
      <c r="AQ5" s="20" t="s">
        <v>644</v>
      </c>
      <c r="AR5" s="20" t="s">
        <v>645</v>
      </c>
      <c r="AS5" s="20" t="s">
        <v>646</v>
      </c>
      <c r="AT5" s="20" t="s">
        <v>647</v>
      </c>
      <c r="AU5" s="20" t="s">
        <v>648</v>
      </c>
      <c r="AV5" s="20" t="s">
        <v>649</v>
      </c>
      <c r="AW5" s="20" t="s">
        <v>650</v>
      </c>
      <c r="AX5" s="20" t="s">
        <v>651</v>
      </c>
      <c r="AY5" s="20" t="s">
        <v>652</v>
      </c>
      <c r="AZ5" s="20" t="s">
        <v>653</v>
      </c>
      <c r="BA5" s="20" t="s">
        <v>654</v>
      </c>
      <c r="BB5" s="20" t="s">
        <v>655</v>
      </c>
      <c r="BC5" s="20" t="s">
        <v>656</v>
      </c>
      <c r="BD5" s="20" t="s">
        <v>657</v>
      </c>
      <c r="BE5" s="20" t="s">
        <v>658</v>
      </c>
      <c r="BF5" s="20" t="s">
        <v>659</v>
      </c>
      <c r="BG5" s="20" t="s">
        <v>660</v>
      </c>
      <c r="BH5" s="20" t="s">
        <v>661</v>
      </c>
      <c r="BI5" s="20" t="s">
        <v>662</v>
      </c>
      <c r="BJ5" s="20" t="s">
        <v>663</v>
      </c>
      <c r="BK5" s="20" t="s">
        <v>664</v>
      </c>
      <c r="BL5" s="20" t="s">
        <v>665</v>
      </c>
      <c r="BM5" s="20" t="s">
        <v>666</v>
      </c>
      <c r="BN5" s="20" t="s">
        <v>667</v>
      </c>
      <c r="BO5" s="20" t="s">
        <v>668</v>
      </c>
      <c r="BP5" s="20" t="s">
        <v>669</v>
      </c>
      <c r="BQ5" s="20" t="s">
        <v>670</v>
      </c>
      <c r="BR5" s="20" t="s">
        <v>671</v>
      </c>
      <c r="BS5" s="20" t="s">
        <v>672</v>
      </c>
      <c r="BT5" s="20" t="s">
        <v>673</v>
      </c>
      <c r="BU5" s="20" t="s">
        <v>674</v>
      </c>
      <c r="BV5" s="20" t="s">
        <v>675</v>
      </c>
      <c r="BW5" s="20" t="s">
        <v>676</v>
      </c>
      <c r="BX5" s="14" t="s">
        <v>677</v>
      </c>
      <c r="BY5" s="14" t="s">
        <v>678</v>
      </c>
      <c r="BZ5" s="14" t="s">
        <v>679</v>
      </c>
      <c r="CA5" s="14" t="s">
        <v>680</v>
      </c>
      <c r="CB5" s="14" t="s">
        <v>681</v>
      </c>
      <c r="CC5" s="14" t="s">
        <v>682</v>
      </c>
      <c r="CD5" s="14" t="s">
        <v>683</v>
      </c>
      <c r="CE5" s="14" t="s">
        <v>684</v>
      </c>
      <c r="CF5" s="14" t="s">
        <v>685</v>
      </c>
      <c r="CG5" s="14" t="s">
        <v>686</v>
      </c>
      <c r="CH5" s="14" t="s">
        <v>687</v>
      </c>
      <c r="CI5" s="14" t="s">
        <v>688</v>
      </c>
      <c r="CJ5" s="14" t="s">
        <v>689</v>
      </c>
      <c r="CK5" s="14" t="s">
        <v>690</v>
      </c>
      <c r="CL5" s="14" t="s">
        <v>691</v>
      </c>
      <c r="CM5" s="14" t="s">
        <v>692</v>
      </c>
      <c r="CN5" s="14" t="s">
        <v>693</v>
      </c>
      <c r="CO5" s="14" t="s">
        <v>694</v>
      </c>
      <c r="CP5" s="14" t="s">
        <v>695</v>
      </c>
      <c r="CQ5" s="14" t="s">
        <v>696</v>
      </c>
      <c r="CR5" s="14" t="s">
        <v>697</v>
      </c>
      <c r="CS5" s="14" t="s">
        <v>698</v>
      </c>
      <c r="CT5" s="14" t="s">
        <v>699</v>
      </c>
      <c r="CU5" s="14" t="s">
        <v>700</v>
      </c>
      <c r="CV5" s="14" t="s">
        <v>701</v>
      </c>
      <c r="CW5" s="14" t="s">
        <v>702</v>
      </c>
      <c r="CX5" s="14" t="s">
        <v>703</v>
      </c>
      <c r="CY5" s="14" t="s">
        <v>704</v>
      </c>
      <c r="CZ5" s="14" t="s">
        <v>705</v>
      </c>
      <c r="DA5" s="14" t="s">
        <v>706</v>
      </c>
      <c r="DB5" s="14" t="s">
        <v>707</v>
      </c>
      <c r="DC5" s="14" t="s">
        <v>708</v>
      </c>
      <c r="DD5" s="14" t="s">
        <v>709</v>
      </c>
      <c r="DE5" s="14" t="s">
        <v>710</v>
      </c>
      <c r="DF5" s="14" t="s">
        <v>711</v>
      </c>
      <c r="DG5" s="14" t="s">
        <v>712</v>
      </c>
      <c r="DH5" s="14" t="s">
        <v>713</v>
      </c>
      <c r="DI5" s="14" t="s">
        <v>714</v>
      </c>
      <c r="DJ5" s="14" t="s">
        <v>715</v>
      </c>
      <c r="DK5" s="14" t="s">
        <v>716</v>
      </c>
      <c r="DL5" s="14" t="s">
        <v>717</v>
      </c>
      <c r="DM5" s="14" t="s">
        <v>718</v>
      </c>
      <c r="DN5" s="14" t="s">
        <v>719</v>
      </c>
      <c r="DO5" s="14" t="s">
        <v>720</v>
      </c>
      <c r="DP5" s="14" t="s">
        <v>721</v>
      </c>
      <c r="DQ5" s="14" t="s">
        <v>722</v>
      </c>
      <c r="DR5" s="14" t="s">
        <v>723</v>
      </c>
      <c r="DS5" s="14" t="s">
        <v>724</v>
      </c>
      <c r="DT5" s="14" t="s">
        <v>725</v>
      </c>
      <c r="DU5" s="14" t="s">
        <v>726</v>
      </c>
      <c r="DV5" s="14" t="s">
        <v>727</v>
      </c>
      <c r="DW5" s="14" t="s">
        <v>728</v>
      </c>
      <c r="DX5" s="14" t="s">
        <v>729</v>
      </c>
      <c r="DY5" s="14" t="s">
        <v>730</v>
      </c>
      <c r="DZ5" s="14" t="s">
        <v>731</v>
      </c>
      <c r="EA5" s="14" t="s">
        <v>732</v>
      </c>
      <c r="EB5" s="14" t="s">
        <v>733</v>
      </c>
      <c r="EC5" s="14" t="s">
        <v>734</v>
      </c>
      <c r="ED5" s="14" t="s">
        <v>735</v>
      </c>
      <c r="EE5" s="14" t="s">
        <v>736</v>
      </c>
    </row>
    <row r="6" spans="1:135" x14ac:dyDescent="0.3">
      <c r="A6" s="19" t="s">
        <v>161</v>
      </c>
      <c r="B6">
        <v>1.44E-2</v>
      </c>
      <c r="C6">
        <v>1.52E-2</v>
      </c>
      <c r="D6">
        <v>1.4999999999999999E-2</v>
      </c>
      <c r="E6">
        <v>1.5900000000000001E-2</v>
      </c>
      <c r="F6">
        <v>1.52E-2</v>
      </c>
      <c r="G6">
        <v>1.55E-2</v>
      </c>
      <c r="H6">
        <v>1.54E-2</v>
      </c>
      <c r="I6">
        <v>1.61E-2</v>
      </c>
      <c r="J6">
        <v>1.52E-2</v>
      </c>
      <c r="K6">
        <v>1.5800000000000002E-2</v>
      </c>
      <c r="L6">
        <v>1.52E-2</v>
      </c>
      <c r="M6">
        <v>1.52E-2</v>
      </c>
      <c r="N6">
        <v>1.55E-2</v>
      </c>
      <c r="O6">
        <v>1.4800000000000001E-2</v>
      </c>
      <c r="P6">
        <v>1.5599999999999999E-2</v>
      </c>
      <c r="Q6">
        <v>1.52E-2</v>
      </c>
      <c r="R6">
        <v>1.5299999999999999E-2</v>
      </c>
      <c r="S6">
        <v>1.6E-2</v>
      </c>
      <c r="T6">
        <v>1.55E-2</v>
      </c>
      <c r="U6">
        <v>1.5699999999999999E-2</v>
      </c>
      <c r="V6">
        <v>1.5599999999999999E-2</v>
      </c>
      <c r="W6">
        <v>1.54E-2</v>
      </c>
      <c r="X6">
        <v>1.6500000000000001E-2</v>
      </c>
      <c r="Y6">
        <v>1.5699999999999999E-2</v>
      </c>
      <c r="Z6">
        <v>1.4999999999999999E-2</v>
      </c>
      <c r="AA6">
        <v>1.5599999999999999E-2</v>
      </c>
      <c r="AB6">
        <v>1.52E-2</v>
      </c>
      <c r="AC6">
        <v>1.5699999999999999E-2</v>
      </c>
      <c r="AD6">
        <v>1.5599999999999999E-2</v>
      </c>
      <c r="AE6">
        <v>1.5900000000000001E-2</v>
      </c>
      <c r="AF6">
        <v>1.5100000000000001E-2</v>
      </c>
      <c r="AG6">
        <v>1.5900000000000001E-2</v>
      </c>
      <c r="AH6">
        <v>1.5900000000000001E-2</v>
      </c>
      <c r="AI6">
        <v>1.4999999999999999E-2</v>
      </c>
      <c r="AJ6">
        <v>1.5699999999999999E-2</v>
      </c>
      <c r="AK6">
        <v>1.5900000000000001E-2</v>
      </c>
      <c r="AL6">
        <v>1.5299999999999999E-2</v>
      </c>
      <c r="AM6">
        <v>1.5699999999999999E-2</v>
      </c>
      <c r="AN6">
        <v>1.5599999999999999E-2</v>
      </c>
      <c r="AO6">
        <v>1.54E-2</v>
      </c>
      <c r="AP6">
        <v>1.6199999999999999E-2</v>
      </c>
      <c r="AQ6">
        <v>1.5900000000000001E-2</v>
      </c>
      <c r="AR6">
        <v>1.6299999999999999E-2</v>
      </c>
      <c r="AS6">
        <v>1.52E-2</v>
      </c>
      <c r="AT6">
        <v>1.5699999999999999E-2</v>
      </c>
      <c r="AU6">
        <v>1.5599999999999999E-2</v>
      </c>
      <c r="AV6">
        <v>1.4999999999999999E-2</v>
      </c>
      <c r="AW6">
        <v>1.4800000000000001E-2</v>
      </c>
      <c r="AX6">
        <v>1.52E-2</v>
      </c>
      <c r="AY6">
        <v>1.55E-2</v>
      </c>
      <c r="AZ6">
        <v>1.5100000000000001E-2</v>
      </c>
      <c r="BA6">
        <v>1.5100000000000001E-2</v>
      </c>
      <c r="BB6">
        <v>1.52E-2</v>
      </c>
      <c r="BC6">
        <v>1.49E-2</v>
      </c>
      <c r="BD6">
        <v>1.5299999999999999E-2</v>
      </c>
      <c r="BE6">
        <v>1.5100000000000001E-2</v>
      </c>
      <c r="BF6">
        <v>1.5599999999999999E-2</v>
      </c>
      <c r="BG6">
        <v>1.54E-2</v>
      </c>
      <c r="BH6">
        <v>1.5100000000000001E-2</v>
      </c>
      <c r="BI6">
        <v>1.61E-2</v>
      </c>
      <c r="BJ6">
        <v>1.6199999999999999E-2</v>
      </c>
      <c r="BK6">
        <v>1.55E-2</v>
      </c>
      <c r="BL6">
        <v>1.5900000000000001E-2</v>
      </c>
      <c r="BM6">
        <v>1.47E-2</v>
      </c>
      <c r="BN6">
        <v>1.5800000000000002E-2</v>
      </c>
      <c r="BO6">
        <v>1.5900000000000001E-2</v>
      </c>
      <c r="BP6">
        <v>1.5599999999999999E-2</v>
      </c>
      <c r="BQ6">
        <v>1.5900000000000001E-2</v>
      </c>
      <c r="BR6">
        <v>1.55E-2</v>
      </c>
      <c r="BS6">
        <v>1.5699999999999999E-2</v>
      </c>
      <c r="BT6">
        <v>1.4999999999999999E-2</v>
      </c>
      <c r="BU6">
        <v>1.47E-2</v>
      </c>
      <c r="BV6">
        <v>1.5800000000000002E-2</v>
      </c>
      <c r="BW6">
        <v>1.5299999999999999E-2</v>
      </c>
      <c r="BX6" s="31">
        <v>1.5800000000000002E-2</v>
      </c>
      <c r="BY6" s="31">
        <v>1.5599999999999999E-2</v>
      </c>
      <c r="BZ6" s="31">
        <v>1.54E-2</v>
      </c>
      <c r="CA6" s="31">
        <v>1.5599999999999999E-2</v>
      </c>
      <c r="CB6" s="31">
        <v>1.61E-2</v>
      </c>
      <c r="CC6" s="31">
        <v>1.54E-2</v>
      </c>
      <c r="CD6" s="31">
        <v>1.5800000000000002E-2</v>
      </c>
      <c r="CE6" s="31">
        <v>1.5800000000000002E-2</v>
      </c>
      <c r="CF6" s="31">
        <v>1.55E-2</v>
      </c>
      <c r="CG6" s="31">
        <v>1.5100000000000001E-2</v>
      </c>
      <c r="CH6" s="31">
        <v>1.4999999999999999E-2</v>
      </c>
      <c r="CI6" s="31">
        <v>1.55E-2</v>
      </c>
      <c r="CJ6" s="31">
        <v>1.55E-2</v>
      </c>
      <c r="CK6" s="31">
        <v>1.5299999999999999E-2</v>
      </c>
      <c r="CL6" s="31">
        <v>1.55E-2</v>
      </c>
      <c r="CM6" s="31">
        <v>1.1900000000000001E-2</v>
      </c>
      <c r="CN6" s="31">
        <v>1.54E-2</v>
      </c>
      <c r="CO6" s="31">
        <v>1.4999999999999999E-2</v>
      </c>
      <c r="CP6" s="31">
        <v>1.6E-2</v>
      </c>
      <c r="CQ6" s="31">
        <v>1.6500000000000001E-2</v>
      </c>
      <c r="CR6" s="31">
        <v>1.2200000000000001E-2</v>
      </c>
      <c r="CS6" s="31">
        <v>1.1599999999999999E-2</v>
      </c>
      <c r="CT6" s="31">
        <v>1.61E-2</v>
      </c>
      <c r="CU6" s="31">
        <v>1.6E-2</v>
      </c>
      <c r="CV6" s="31">
        <v>1.6400000000000001E-2</v>
      </c>
      <c r="CW6" s="31">
        <v>1.6E-2</v>
      </c>
      <c r="CX6" s="31">
        <v>1.17E-2</v>
      </c>
      <c r="CY6" s="31">
        <v>1.61E-2</v>
      </c>
      <c r="CZ6" s="31">
        <v>1.6199999999999999E-2</v>
      </c>
      <c r="DA6" s="31">
        <v>1.61E-2</v>
      </c>
      <c r="DB6" s="31">
        <v>1.5900000000000001E-2</v>
      </c>
      <c r="DC6" s="31">
        <v>1.5299999999999999E-2</v>
      </c>
      <c r="DD6" s="31">
        <v>1.54E-2</v>
      </c>
      <c r="DE6" s="31">
        <v>1.54E-2</v>
      </c>
      <c r="DF6" s="31">
        <v>1.1900000000000001E-2</v>
      </c>
      <c r="DG6" s="31">
        <v>1.4999999999999999E-2</v>
      </c>
      <c r="DH6" s="31">
        <v>1.55E-2</v>
      </c>
      <c r="DI6" s="31">
        <v>1.44E-2</v>
      </c>
      <c r="DJ6" s="31">
        <v>1.6E-2</v>
      </c>
      <c r="DK6" s="31">
        <v>1.4800000000000001E-2</v>
      </c>
      <c r="DL6" s="31">
        <v>1.5800000000000002E-2</v>
      </c>
      <c r="DM6" s="31">
        <v>1.14E-2</v>
      </c>
      <c r="DN6" s="31">
        <v>1.61E-2</v>
      </c>
      <c r="DO6" s="31">
        <v>1.54E-2</v>
      </c>
      <c r="DP6" s="31">
        <v>1.21E-2</v>
      </c>
      <c r="DQ6" s="31">
        <v>1.4999999999999999E-2</v>
      </c>
      <c r="DR6" s="31">
        <v>1.2E-2</v>
      </c>
      <c r="DS6" s="31">
        <v>1.5900000000000001E-2</v>
      </c>
      <c r="DT6" s="31">
        <v>1.67E-2</v>
      </c>
      <c r="DU6" s="31">
        <v>1.5699999999999999E-2</v>
      </c>
      <c r="DV6" s="31">
        <v>1.5699999999999999E-2</v>
      </c>
      <c r="DW6" s="31">
        <v>1.6299999999999999E-2</v>
      </c>
      <c r="DX6" s="31">
        <v>1.5699999999999999E-2</v>
      </c>
      <c r="DY6" s="31">
        <v>1.5800000000000002E-2</v>
      </c>
      <c r="DZ6" s="31">
        <v>1.6199999999999999E-2</v>
      </c>
      <c r="EA6" s="31">
        <v>1.5299999999999999E-2</v>
      </c>
      <c r="EB6" s="31">
        <v>1.5900000000000001E-2</v>
      </c>
      <c r="EC6" s="31">
        <v>1.5800000000000002E-2</v>
      </c>
      <c r="ED6" s="31">
        <v>1.6299999999999999E-2</v>
      </c>
      <c r="EE6" s="31">
        <v>1.6299999999999999E-2</v>
      </c>
    </row>
    <row r="7" spans="1:135" x14ac:dyDescent="0.3">
      <c r="A7" s="31" t="s">
        <v>162</v>
      </c>
      <c r="B7">
        <v>1.5900000000000001E-2</v>
      </c>
      <c r="C7">
        <v>1.41E-2</v>
      </c>
      <c r="D7">
        <v>1.4200000000000001E-2</v>
      </c>
      <c r="E7">
        <v>1.46E-2</v>
      </c>
      <c r="F7">
        <v>1.7500000000000002E-2</v>
      </c>
      <c r="G7">
        <v>0</v>
      </c>
      <c r="H7">
        <v>1.7299999999999999E-2</v>
      </c>
      <c r="I7">
        <v>0</v>
      </c>
      <c r="J7">
        <v>0</v>
      </c>
      <c r="K7">
        <v>1.7000000000000001E-2</v>
      </c>
      <c r="L7">
        <v>0</v>
      </c>
      <c r="M7">
        <v>1.7899999999999999E-2</v>
      </c>
      <c r="N7">
        <v>1.8100000000000002E-2</v>
      </c>
      <c r="O7">
        <v>1.8599999999999998E-2</v>
      </c>
      <c r="P7">
        <v>0</v>
      </c>
      <c r="Q7">
        <v>1.8200000000000001E-2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1.5900000000000001E-2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1.5699999999999999E-2</v>
      </c>
      <c r="BU7">
        <v>1.55E-2</v>
      </c>
      <c r="BV7">
        <v>0</v>
      </c>
      <c r="BW7">
        <v>0</v>
      </c>
      <c r="BX7" s="31">
        <v>1.7100000000000001E-2</v>
      </c>
      <c r="BY7" s="31">
        <v>1.7399999999999999E-2</v>
      </c>
      <c r="BZ7" s="31">
        <v>1.66E-2</v>
      </c>
      <c r="CA7" s="31">
        <v>1.2999999999999999E-2</v>
      </c>
      <c r="CB7" s="31">
        <v>1.4E-2</v>
      </c>
      <c r="CC7" s="31">
        <v>1.49E-2</v>
      </c>
      <c r="CD7" s="31">
        <v>1.41E-2</v>
      </c>
      <c r="CE7" s="31">
        <v>1.7100000000000001E-2</v>
      </c>
      <c r="CF7" s="31">
        <v>1.67E-2</v>
      </c>
      <c r="CG7" s="31">
        <v>1.67E-2</v>
      </c>
      <c r="CH7" s="31">
        <v>1.7000000000000001E-2</v>
      </c>
      <c r="CI7" s="31">
        <v>0</v>
      </c>
      <c r="CJ7" s="31">
        <v>1.54E-2</v>
      </c>
      <c r="CK7" s="31">
        <v>1.67E-2</v>
      </c>
      <c r="CL7" s="31">
        <v>1.6199999999999999E-2</v>
      </c>
      <c r="CM7" s="31">
        <v>0</v>
      </c>
      <c r="CN7" s="31">
        <v>1.7000000000000001E-2</v>
      </c>
      <c r="CO7" s="31">
        <v>1.67E-2</v>
      </c>
      <c r="CP7" s="31">
        <v>0</v>
      </c>
      <c r="CQ7" s="31">
        <v>0</v>
      </c>
      <c r="CR7" s="31">
        <v>0</v>
      </c>
      <c r="CS7" s="31">
        <v>0</v>
      </c>
      <c r="CT7" s="31">
        <v>0</v>
      </c>
      <c r="CU7" s="31">
        <v>1.8100000000000002E-2</v>
      </c>
      <c r="CV7" s="31">
        <v>0</v>
      </c>
      <c r="CW7" s="31">
        <v>0</v>
      </c>
      <c r="CX7" s="31">
        <v>0</v>
      </c>
      <c r="CY7" s="31">
        <v>0</v>
      </c>
      <c r="CZ7" s="31">
        <v>0</v>
      </c>
      <c r="DA7" s="31">
        <v>0</v>
      </c>
      <c r="DB7" s="31">
        <v>0</v>
      </c>
      <c r="DC7" s="31">
        <v>1.6299999999999999E-2</v>
      </c>
      <c r="DD7" s="31">
        <v>0</v>
      </c>
      <c r="DE7" s="31">
        <v>1.5100000000000001E-2</v>
      </c>
      <c r="DF7" s="31">
        <v>0</v>
      </c>
      <c r="DG7" s="31">
        <v>1.7399999999999999E-2</v>
      </c>
      <c r="DH7" s="31">
        <v>1.6899999999999998E-2</v>
      </c>
      <c r="DI7" s="31">
        <v>1.43E-2</v>
      </c>
      <c r="DJ7" s="31">
        <v>0</v>
      </c>
      <c r="DK7" s="31">
        <v>1.46E-2</v>
      </c>
      <c r="DL7" s="31">
        <v>0</v>
      </c>
      <c r="DM7" s="31">
        <v>0</v>
      </c>
      <c r="DN7" s="31">
        <v>0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0</v>
      </c>
      <c r="DU7" s="31">
        <v>0</v>
      </c>
      <c r="DV7" s="31">
        <v>0</v>
      </c>
      <c r="DW7" s="31">
        <v>0</v>
      </c>
      <c r="DX7" s="31">
        <v>0</v>
      </c>
      <c r="DY7" s="31">
        <v>0</v>
      </c>
      <c r="DZ7" s="31">
        <v>0</v>
      </c>
      <c r="EA7" s="31">
        <v>0</v>
      </c>
      <c r="EB7" s="31">
        <v>0</v>
      </c>
      <c r="EC7" s="31">
        <v>1.7500000000000002E-2</v>
      </c>
      <c r="ED7" s="31">
        <v>0</v>
      </c>
      <c r="EE7" s="31">
        <v>0</v>
      </c>
    </row>
    <row r="8" spans="1:135" x14ac:dyDescent="0.3">
      <c r="A8" s="31" t="s">
        <v>163</v>
      </c>
      <c r="B8">
        <v>1.24E-2</v>
      </c>
      <c r="C8">
        <v>1.14E-2</v>
      </c>
      <c r="D8">
        <v>1.0800000000000001E-2</v>
      </c>
      <c r="E8">
        <v>1.06E-2</v>
      </c>
      <c r="F8">
        <v>1.29E-2</v>
      </c>
      <c r="G8">
        <v>1.21E-2</v>
      </c>
      <c r="H8">
        <v>1.2699999999999999E-2</v>
      </c>
      <c r="I8">
        <v>1.23E-2</v>
      </c>
      <c r="J8">
        <v>1.26E-2</v>
      </c>
      <c r="K8">
        <v>1.2699999999999999E-2</v>
      </c>
      <c r="L8">
        <v>1.2800000000000001E-2</v>
      </c>
      <c r="M8">
        <v>1.2999999999999999E-2</v>
      </c>
      <c r="N8">
        <v>1.4E-2</v>
      </c>
      <c r="O8">
        <v>1.3899999999999999E-2</v>
      </c>
      <c r="P8">
        <v>1.23E-2</v>
      </c>
      <c r="Q8">
        <v>1.3100000000000001E-2</v>
      </c>
      <c r="R8">
        <v>0</v>
      </c>
      <c r="S8">
        <v>1.4500000000000001E-2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1.47E-2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1.32E-2</v>
      </c>
      <c r="AN8">
        <v>1.3599999999999999E-2</v>
      </c>
      <c r="AO8">
        <v>1.4E-2</v>
      </c>
      <c r="AP8">
        <v>1.43E-2</v>
      </c>
      <c r="AQ8">
        <v>1.41E-2</v>
      </c>
      <c r="AR8">
        <v>1.3299999999999999E-2</v>
      </c>
      <c r="AS8">
        <v>1.5100000000000001E-2</v>
      </c>
      <c r="AT8">
        <v>1.3899999999999999E-2</v>
      </c>
      <c r="AU8">
        <v>1.38E-2</v>
      </c>
      <c r="AV8">
        <v>1.06E-2</v>
      </c>
      <c r="AW8">
        <v>1.06E-2</v>
      </c>
      <c r="AX8">
        <v>1.46E-2</v>
      </c>
      <c r="AY8">
        <v>1.43E-2</v>
      </c>
      <c r="AZ8">
        <v>1.44E-2</v>
      </c>
      <c r="BA8">
        <v>1.46E-2</v>
      </c>
      <c r="BB8">
        <v>1.06E-2</v>
      </c>
      <c r="BC8">
        <v>1.03E-2</v>
      </c>
      <c r="BD8">
        <v>1.04E-2</v>
      </c>
      <c r="BE8">
        <v>1.0699999999999999E-2</v>
      </c>
      <c r="BF8">
        <v>1.06E-2</v>
      </c>
      <c r="BG8">
        <v>1.5100000000000001E-2</v>
      </c>
      <c r="BH8">
        <v>1.49E-2</v>
      </c>
      <c r="BI8">
        <v>1.55E-2</v>
      </c>
      <c r="BJ8">
        <v>1.5599999999999999E-2</v>
      </c>
      <c r="BK8">
        <v>1.5100000000000001E-2</v>
      </c>
      <c r="BL8">
        <v>1.5100000000000001E-2</v>
      </c>
      <c r="BM8">
        <v>1.47E-2</v>
      </c>
      <c r="BN8">
        <v>1.4999999999999999E-2</v>
      </c>
      <c r="BO8">
        <v>1.52E-2</v>
      </c>
      <c r="BP8">
        <v>1.5299999999999999E-2</v>
      </c>
      <c r="BQ8">
        <v>1.5299999999999999E-2</v>
      </c>
      <c r="BR8">
        <v>1.4800000000000001E-2</v>
      </c>
      <c r="BS8">
        <v>1.55E-2</v>
      </c>
      <c r="BT8">
        <v>1.35E-2</v>
      </c>
      <c r="BU8">
        <v>1.2200000000000001E-2</v>
      </c>
      <c r="BV8">
        <v>1.4999999999999999E-2</v>
      </c>
      <c r="BW8">
        <v>1.54E-2</v>
      </c>
      <c r="BX8" s="31">
        <v>1.2699999999999999E-2</v>
      </c>
      <c r="BY8" s="31">
        <v>1.2999999999999999E-2</v>
      </c>
      <c r="BZ8" s="31">
        <v>1.23E-2</v>
      </c>
      <c r="CA8" s="31">
        <v>1.0999999999999999E-2</v>
      </c>
      <c r="CB8" s="31">
        <v>1.06E-2</v>
      </c>
      <c r="CC8" s="31">
        <v>1.03E-2</v>
      </c>
      <c r="CD8" s="31">
        <v>1.03E-2</v>
      </c>
      <c r="CE8" s="31">
        <v>1.23E-2</v>
      </c>
      <c r="CF8" s="31">
        <v>1.2800000000000001E-2</v>
      </c>
      <c r="CG8" s="31">
        <v>1.24E-2</v>
      </c>
      <c r="CH8" s="31">
        <v>1.2E-2</v>
      </c>
      <c r="CI8" s="31">
        <v>1.23E-2</v>
      </c>
      <c r="CJ8" s="31">
        <v>1.04E-2</v>
      </c>
      <c r="CK8" s="31">
        <v>1.1900000000000001E-2</v>
      </c>
      <c r="CL8" s="31">
        <v>1.1900000000000001E-2</v>
      </c>
      <c r="CM8" s="31">
        <v>1.0999999999999999E-2</v>
      </c>
      <c r="CN8" s="31">
        <v>1.2500000000000001E-2</v>
      </c>
      <c r="CO8" s="31">
        <v>1.2500000000000001E-2</v>
      </c>
      <c r="CP8" s="31">
        <v>1.5299999999999999E-2</v>
      </c>
      <c r="CQ8" s="31">
        <v>1.47E-2</v>
      </c>
      <c r="CR8" s="31">
        <v>1.0699999999999999E-2</v>
      </c>
      <c r="CS8" s="31">
        <v>1.11E-2</v>
      </c>
      <c r="CT8" s="31">
        <v>1.49E-2</v>
      </c>
      <c r="CU8" s="31">
        <v>1.37E-2</v>
      </c>
      <c r="CV8" s="31">
        <v>1.43E-2</v>
      </c>
      <c r="CW8" s="31">
        <v>1.5299999999999999E-2</v>
      </c>
      <c r="CX8" s="31">
        <v>1.0699999999999999E-2</v>
      </c>
      <c r="CY8" s="31">
        <v>1.44E-2</v>
      </c>
      <c r="CZ8" s="31">
        <v>1.44E-2</v>
      </c>
      <c r="DA8" s="31">
        <v>0</v>
      </c>
      <c r="DB8" s="31">
        <v>1.4200000000000001E-2</v>
      </c>
      <c r="DC8" s="31">
        <v>1.1900000000000001E-2</v>
      </c>
      <c r="DD8" s="31">
        <v>1.2200000000000001E-2</v>
      </c>
      <c r="DE8" s="31">
        <v>1.04E-2</v>
      </c>
      <c r="DF8" s="31">
        <v>1.0999999999999999E-2</v>
      </c>
      <c r="DG8" s="31">
        <v>1.23E-2</v>
      </c>
      <c r="DH8" s="31">
        <v>1.35E-2</v>
      </c>
      <c r="DI8" s="31">
        <v>1.01E-2</v>
      </c>
      <c r="DJ8" s="31">
        <v>1.18E-2</v>
      </c>
      <c r="DK8" s="31">
        <v>1.04E-2</v>
      </c>
      <c r="DL8" s="31">
        <v>0</v>
      </c>
      <c r="DM8" s="31">
        <v>1.06E-2</v>
      </c>
      <c r="DN8" s="31">
        <v>1.4800000000000001E-2</v>
      </c>
      <c r="DO8" s="31">
        <v>1.54E-2</v>
      </c>
      <c r="DP8" s="31">
        <v>0</v>
      </c>
      <c r="DQ8" s="31">
        <v>1.49E-2</v>
      </c>
      <c r="DR8" s="31">
        <v>1.12E-2</v>
      </c>
      <c r="DS8" s="31">
        <v>0</v>
      </c>
      <c r="DT8" s="31">
        <v>1.4500000000000001E-2</v>
      </c>
      <c r="DU8" s="31">
        <v>0</v>
      </c>
      <c r="DV8" s="31">
        <v>0</v>
      </c>
      <c r="DW8" s="31">
        <v>1.43E-2</v>
      </c>
      <c r="DX8" s="31">
        <v>0</v>
      </c>
      <c r="DY8" s="31">
        <v>1.44E-2</v>
      </c>
      <c r="DZ8" s="31">
        <v>1.43E-2</v>
      </c>
      <c r="EA8" s="31">
        <v>0</v>
      </c>
      <c r="EB8" s="31">
        <v>0</v>
      </c>
      <c r="EC8" s="31">
        <v>1.26E-2</v>
      </c>
      <c r="ED8" s="31">
        <v>0</v>
      </c>
      <c r="EE8" s="31">
        <v>0</v>
      </c>
    </row>
    <row r="9" spans="1:135" x14ac:dyDescent="0.3">
      <c r="A9" s="31" t="s">
        <v>191</v>
      </c>
      <c r="B9">
        <v>0.61450000000000005</v>
      </c>
      <c r="C9">
        <v>0.57050000000000001</v>
      </c>
      <c r="D9">
        <v>0.54490000000000005</v>
      </c>
      <c r="E9">
        <v>0.52629999999999999</v>
      </c>
      <c r="F9">
        <v>0.6845</v>
      </c>
      <c r="G9">
        <v>0</v>
      </c>
      <c r="H9">
        <v>0.65710000000000002</v>
      </c>
      <c r="I9">
        <v>0.66479999999999995</v>
      </c>
      <c r="J9">
        <v>0</v>
      </c>
      <c r="K9">
        <v>0</v>
      </c>
      <c r="L9">
        <v>0.66790000000000005</v>
      </c>
      <c r="M9">
        <v>0</v>
      </c>
      <c r="N9">
        <v>0</v>
      </c>
      <c r="O9">
        <v>0.6603</v>
      </c>
      <c r="P9">
        <v>0</v>
      </c>
      <c r="Q9">
        <v>0</v>
      </c>
      <c r="R9">
        <v>0</v>
      </c>
      <c r="S9">
        <v>0.67779999999999996</v>
      </c>
      <c r="T9">
        <v>0</v>
      </c>
      <c r="U9">
        <v>0</v>
      </c>
      <c r="V9">
        <v>0.65359999999999996</v>
      </c>
      <c r="W9">
        <v>0</v>
      </c>
      <c r="X9">
        <v>0</v>
      </c>
      <c r="Y9">
        <v>0.65710000000000002</v>
      </c>
      <c r="Z9">
        <v>0.59789999999999999</v>
      </c>
      <c r="AA9">
        <v>0</v>
      </c>
      <c r="AB9">
        <v>0.62350000000000005</v>
      </c>
      <c r="AC9">
        <v>0.65300000000000002</v>
      </c>
      <c r="AD9">
        <v>0</v>
      </c>
      <c r="AE9">
        <v>0</v>
      </c>
      <c r="AF9">
        <v>0</v>
      </c>
      <c r="AG9">
        <v>0</v>
      </c>
      <c r="AH9">
        <v>0</v>
      </c>
      <c r="AI9">
        <v>0.62980000000000003</v>
      </c>
      <c r="AJ9">
        <v>0.65569999999999995</v>
      </c>
      <c r="AK9" t="s">
        <v>160</v>
      </c>
      <c r="AL9">
        <v>0</v>
      </c>
      <c r="AM9" t="s">
        <v>160</v>
      </c>
      <c r="AN9">
        <v>0.62939999999999996</v>
      </c>
      <c r="AO9">
        <v>0</v>
      </c>
      <c r="AP9">
        <v>0.66210000000000002</v>
      </c>
      <c r="AQ9">
        <v>0</v>
      </c>
      <c r="AR9">
        <v>0.64080000000000004</v>
      </c>
      <c r="AS9">
        <v>0</v>
      </c>
      <c r="AT9">
        <v>0</v>
      </c>
      <c r="AU9">
        <v>0.64959999999999996</v>
      </c>
      <c r="AV9">
        <v>0.62050000000000005</v>
      </c>
      <c r="AW9">
        <v>0.62919999999999998</v>
      </c>
      <c r="AX9">
        <v>0.71009999999999995</v>
      </c>
      <c r="AY9">
        <v>0.6633</v>
      </c>
      <c r="AZ9">
        <v>0.64239999999999997</v>
      </c>
      <c r="BA9">
        <v>0</v>
      </c>
      <c r="BB9">
        <v>0</v>
      </c>
      <c r="BC9">
        <v>0</v>
      </c>
      <c r="BD9">
        <v>0.61629999999999996</v>
      </c>
      <c r="BE9">
        <v>0</v>
      </c>
      <c r="BF9">
        <v>0</v>
      </c>
      <c r="BG9">
        <v>0.70540000000000003</v>
      </c>
      <c r="BH9">
        <v>0.6593</v>
      </c>
      <c r="BI9">
        <v>0.63919999999999999</v>
      </c>
      <c r="BJ9">
        <v>0.66510000000000002</v>
      </c>
      <c r="BK9">
        <v>0.63700000000000001</v>
      </c>
      <c r="BL9">
        <v>0</v>
      </c>
      <c r="BM9">
        <v>0.63019999999999998</v>
      </c>
      <c r="BN9">
        <v>0</v>
      </c>
      <c r="BO9">
        <v>0.64810000000000001</v>
      </c>
      <c r="BP9">
        <v>0.64529999999999998</v>
      </c>
      <c r="BQ9">
        <v>0.62260000000000004</v>
      </c>
      <c r="BR9">
        <v>0.63749999999999996</v>
      </c>
      <c r="BS9">
        <v>0.67979999999999996</v>
      </c>
      <c r="BT9">
        <v>0.63</v>
      </c>
      <c r="BU9">
        <v>0</v>
      </c>
      <c r="BV9">
        <v>0</v>
      </c>
      <c r="BW9">
        <v>0.63570000000000004</v>
      </c>
      <c r="BX9" s="31">
        <v>0.6351</v>
      </c>
      <c r="BY9" s="31">
        <v>0.68479999999999996</v>
      </c>
      <c r="BZ9" s="31">
        <v>0.69740000000000002</v>
      </c>
      <c r="CA9" s="31">
        <v>0.60850000000000004</v>
      </c>
      <c r="CB9" s="31">
        <v>0.52059999999999995</v>
      </c>
      <c r="CC9" s="31">
        <v>0.53190000000000004</v>
      </c>
      <c r="CD9" s="31">
        <v>0</v>
      </c>
      <c r="CE9" s="31">
        <v>0.64190000000000003</v>
      </c>
      <c r="CF9" s="31">
        <v>0.60519999999999996</v>
      </c>
      <c r="CG9" s="31">
        <v>0.70009999999999994</v>
      </c>
      <c r="CH9" s="31">
        <v>0.65610000000000002</v>
      </c>
      <c r="CI9" s="31">
        <v>0.64849999999999997</v>
      </c>
      <c r="CJ9" s="31">
        <v>0.58819999999999995</v>
      </c>
      <c r="CK9" s="31">
        <v>0.65459999999999996</v>
      </c>
      <c r="CL9" s="31">
        <v>0.5968</v>
      </c>
      <c r="CM9" s="31">
        <v>0</v>
      </c>
      <c r="CN9" s="31">
        <v>0.63529999999999998</v>
      </c>
      <c r="CO9" s="31">
        <v>0.66500000000000004</v>
      </c>
      <c r="CP9" s="31">
        <v>0</v>
      </c>
      <c r="CQ9" s="31">
        <v>0.67649999999999999</v>
      </c>
      <c r="CR9" s="31">
        <v>0.5333</v>
      </c>
      <c r="CS9" s="31">
        <v>0.5746</v>
      </c>
      <c r="CT9" s="31">
        <v>0</v>
      </c>
      <c r="CU9" s="31">
        <v>0</v>
      </c>
      <c r="CV9" s="31">
        <v>0</v>
      </c>
      <c r="CW9" s="31">
        <v>0</v>
      </c>
      <c r="CX9" s="31">
        <v>0.5665</v>
      </c>
      <c r="CY9" s="31">
        <v>0.64810000000000001</v>
      </c>
      <c r="CZ9" s="31">
        <v>0.60250000000000004</v>
      </c>
      <c r="DA9" s="31">
        <v>0.59309999999999996</v>
      </c>
      <c r="DB9" s="31">
        <v>0</v>
      </c>
      <c r="DC9" s="31">
        <v>0.62819999999999998</v>
      </c>
      <c r="DD9" s="31">
        <v>0.67969999999999997</v>
      </c>
      <c r="DE9" s="31">
        <v>0.60160000000000002</v>
      </c>
      <c r="DF9" s="31">
        <v>0</v>
      </c>
      <c r="DG9" s="31">
        <v>0.63719999999999999</v>
      </c>
      <c r="DH9" s="31">
        <v>0.628</v>
      </c>
      <c r="DI9" s="31">
        <v>0.62739999999999996</v>
      </c>
      <c r="DJ9" s="31">
        <v>0.60850000000000004</v>
      </c>
      <c r="DK9" s="31">
        <v>0.57399999999999995</v>
      </c>
      <c r="DL9" s="31">
        <v>0.6593</v>
      </c>
      <c r="DM9" s="31">
        <v>0.52839999999999998</v>
      </c>
      <c r="DN9" s="31">
        <v>0.66549999999999998</v>
      </c>
      <c r="DO9" s="31">
        <v>0.64829999999999999</v>
      </c>
      <c r="DP9" s="31" t="s">
        <v>160</v>
      </c>
      <c r="DQ9" s="31">
        <v>0</v>
      </c>
      <c r="DR9" s="31">
        <v>0</v>
      </c>
      <c r="DS9" s="31">
        <v>0</v>
      </c>
      <c r="DT9" s="31">
        <v>0</v>
      </c>
      <c r="DU9" s="31">
        <v>0</v>
      </c>
      <c r="DV9" s="31">
        <v>0</v>
      </c>
      <c r="DW9" s="31">
        <v>0</v>
      </c>
      <c r="DX9" s="31">
        <v>0</v>
      </c>
      <c r="DY9" s="31">
        <v>0.61929999999999996</v>
      </c>
      <c r="DZ9" s="31">
        <v>0</v>
      </c>
      <c r="EA9" s="31">
        <v>0</v>
      </c>
      <c r="EB9" s="31">
        <v>0</v>
      </c>
      <c r="EC9" s="31">
        <v>0.63959999999999995</v>
      </c>
      <c r="ED9" s="31">
        <v>0.63759999999999994</v>
      </c>
      <c r="EE9" s="31">
        <v>0</v>
      </c>
    </row>
    <row r="10" spans="1:135" x14ac:dyDescent="0.3">
      <c r="A10" s="31" t="s">
        <v>164</v>
      </c>
      <c r="B10">
        <v>7.6899999999999996E-2</v>
      </c>
      <c r="C10">
        <v>7.5700000000000003E-2</v>
      </c>
      <c r="D10">
        <v>7.2300000000000003E-2</v>
      </c>
      <c r="E10">
        <v>6.6100000000000006E-2</v>
      </c>
      <c r="F10">
        <v>8.4599999999999995E-2</v>
      </c>
      <c r="G10">
        <v>8.4599999999999995E-2</v>
      </c>
      <c r="H10">
        <v>9.0999999999999998E-2</v>
      </c>
      <c r="I10">
        <v>8.5900000000000004E-2</v>
      </c>
      <c r="J10">
        <v>8.9899999999999994E-2</v>
      </c>
      <c r="K10">
        <v>8.3799999999999999E-2</v>
      </c>
      <c r="L10">
        <v>8.6099999999999996E-2</v>
      </c>
      <c r="M10">
        <v>7.7899999999999997E-2</v>
      </c>
      <c r="N10">
        <v>0</v>
      </c>
      <c r="O10">
        <v>0</v>
      </c>
      <c r="P10">
        <v>9.4299999999999995E-2</v>
      </c>
      <c r="Q10">
        <v>0</v>
      </c>
      <c r="R10">
        <v>8.4500000000000006E-2</v>
      </c>
      <c r="S10">
        <v>8.9800000000000005E-2</v>
      </c>
      <c r="T10">
        <v>0</v>
      </c>
      <c r="U10">
        <v>8.2100000000000006E-2</v>
      </c>
      <c r="V10">
        <v>8.5300000000000001E-2</v>
      </c>
      <c r="W10">
        <v>8.5400000000000004E-2</v>
      </c>
      <c r="X10">
        <v>8.6699999999999999E-2</v>
      </c>
      <c r="Y10">
        <v>8.4400000000000003E-2</v>
      </c>
      <c r="Z10">
        <v>7.4200000000000002E-2</v>
      </c>
      <c r="AA10">
        <v>8.8700000000000001E-2</v>
      </c>
      <c r="AB10">
        <v>8.9399999999999993E-2</v>
      </c>
      <c r="AC10">
        <v>0</v>
      </c>
      <c r="AD10">
        <v>8.2299999999999998E-2</v>
      </c>
      <c r="AE10">
        <v>7.9000000000000001E-2</v>
      </c>
      <c r="AF10">
        <v>8.2900000000000001E-2</v>
      </c>
      <c r="AG10">
        <v>8.3099999999999993E-2</v>
      </c>
      <c r="AH10">
        <v>8.8800000000000004E-2</v>
      </c>
      <c r="AI10">
        <v>7.9899999999999999E-2</v>
      </c>
      <c r="AJ10">
        <v>8.2900000000000001E-2</v>
      </c>
      <c r="AK10">
        <v>8.3099999999999993E-2</v>
      </c>
      <c r="AL10">
        <v>8.6300000000000002E-2</v>
      </c>
      <c r="AM10">
        <v>8.8300000000000003E-2</v>
      </c>
      <c r="AN10">
        <v>8.6300000000000002E-2</v>
      </c>
      <c r="AO10">
        <v>9.4700000000000006E-2</v>
      </c>
      <c r="AP10">
        <v>9.0399999999999994E-2</v>
      </c>
      <c r="AQ10">
        <v>8.9300000000000004E-2</v>
      </c>
      <c r="AR10">
        <v>8.6900000000000005E-2</v>
      </c>
      <c r="AS10">
        <v>0</v>
      </c>
      <c r="AT10">
        <v>9.0300000000000005E-2</v>
      </c>
      <c r="AU10">
        <v>9.01E-2</v>
      </c>
      <c r="AV10">
        <v>7.7499999999999999E-2</v>
      </c>
      <c r="AW10">
        <v>7.7499999999999999E-2</v>
      </c>
      <c r="AX10">
        <v>7.7499999999999999E-2</v>
      </c>
      <c r="AY10">
        <v>7.9699999999999993E-2</v>
      </c>
      <c r="AZ10">
        <v>0</v>
      </c>
      <c r="BA10">
        <v>0</v>
      </c>
      <c r="BB10">
        <v>0</v>
      </c>
      <c r="BC10">
        <v>8.0500000000000002E-2</v>
      </c>
      <c r="BD10">
        <v>0</v>
      </c>
      <c r="BE10">
        <v>7.6700000000000004E-2</v>
      </c>
      <c r="BF10">
        <v>0</v>
      </c>
      <c r="BG10">
        <v>8.5000000000000006E-2</v>
      </c>
      <c r="BH10">
        <v>7.6700000000000004E-2</v>
      </c>
      <c r="BI10">
        <v>8.8300000000000003E-2</v>
      </c>
      <c r="BJ10">
        <v>8.8900000000000007E-2</v>
      </c>
      <c r="BK10">
        <v>8.9499999999999996E-2</v>
      </c>
      <c r="BL10">
        <v>9.0399999999999994E-2</v>
      </c>
      <c r="BM10">
        <v>8.1100000000000005E-2</v>
      </c>
      <c r="BN10">
        <v>8.1799999999999998E-2</v>
      </c>
      <c r="BO10">
        <v>9.1700000000000004E-2</v>
      </c>
      <c r="BP10">
        <v>6.9599999999999995E-2</v>
      </c>
      <c r="BQ10">
        <v>9.1399999999999995E-2</v>
      </c>
      <c r="BR10">
        <v>7.9799999999999996E-2</v>
      </c>
      <c r="BS10">
        <v>9.0399999999999994E-2</v>
      </c>
      <c r="BT10">
        <v>7.0400000000000004E-2</v>
      </c>
      <c r="BU10">
        <v>6.7900000000000002E-2</v>
      </c>
      <c r="BV10">
        <v>8.4000000000000005E-2</v>
      </c>
      <c r="BW10">
        <v>7.8899999999999998E-2</v>
      </c>
      <c r="BX10" s="31">
        <v>8.7300000000000003E-2</v>
      </c>
      <c r="BY10" s="31">
        <v>8.1600000000000006E-2</v>
      </c>
      <c r="BZ10" s="31">
        <v>7.9000000000000001E-2</v>
      </c>
      <c r="CA10" s="31">
        <v>6.4799999999999996E-2</v>
      </c>
      <c r="CB10" s="31">
        <v>6.83E-2</v>
      </c>
      <c r="CC10" s="31">
        <v>7.7200000000000005E-2</v>
      </c>
      <c r="CD10" s="31">
        <v>0</v>
      </c>
      <c r="CE10" s="31">
        <v>9.5000000000000001E-2</v>
      </c>
      <c r="CF10" s="31">
        <v>8.0299999999999996E-2</v>
      </c>
      <c r="CG10" s="31">
        <v>9.2200000000000004E-2</v>
      </c>
      <c r="CH10" s="31">
        <v>0</v>
      </c>
      <c r="CI10" s="31">
        <v>8.7300000000000003E-2</v>
      </c>
      <c r="CJ10" s="31">
        <v>6.8900000000000003E-2</v>
      </c>
      <c r="CK10" s="31">
        <v>7.1900000000000006E-2</v>
      </c>
      <c r="CL10" s="31">
        <v>8.7999999999999995E-2</v>
      </c>
      <c r="CM10" s="31">
        <v>7.3400000000000007E-2</v>
      </c>
      <c r="CN10" s="31">
        <v>8.5300000000000001E-2</v>
      </c>
      <c r="CO10" s="31">
        <v>7.9600000000000004E-2</v>
      </c>
      <c r="CP10" s="31">
        <v>8.3900000000000002E-2</v>
      </c>
      <c r="CQ10" s="31">
        <v>8.7800000000000003E-2</v>
      </c>
      <c r="CR10" s="31">
        <v>0</v>
      </c>
      <c r="CS10" s="31">
        <v>7.9000000000000001E-2</v>
      </c>
      <c r="CT10" s="31">
        <v>8.5099999999999995E-2</v>
      </c>
      <c r="CU10" s="31">
        <v>7.8200000000000006E-2</v>
      </c>
      <c r="CV10" s="31">
        <v>8.0699999999999994E-2</v>
      </c>
      <c r="CW10" s="31">
        <v>8.1100000000000005E-2</v>
      </c>
      <c r="CX10" s="31">
        <v>0</v>
      </c>
      <c r="CY10" s="31">
        <v>8.9300000000000004E-2</v>
      </c>
      <c r="CZ10" s="31">
        <v>8.1500000000000003E-2</v>
      </c>
      <c r="DA10" s="31">
        <v>9.5500000000000002E-2</v>
      </c>
      <c r="DB10" s="31">
        <v>8.8200000000000001E-2</v>
      </c>
      <c r="DC10" s="31">
        <v>9.2999999999999999E-2</v>
      </c>
      <c r="DD10" s="31">
        <v>8.5400000000000004E-2</v>
      </c>
      <c r="DE10" s="31">
        <v>7.3899999999999993E-2</v>
      </c>
      <c r="DF10" s="31">
        <v>8.09E-2</v>
      </c>
      <c r="DG10" s="31">
        <v>8.5400000000000004E-2</v>
      </c>
      <c r="DH10" s="31">
        <v>8.5199999999999998E-2</v>
      </c>
      <c r="DI10" s="31">
        <v>7.9299999999999995E-2</v>
      </c>
      <c r="DJ10" s="31">
        <v>8.5199999999999998E-2</v>
      </c>
      <c r="DK10" s="31">
        <v>6.9500000000000006E-2</v>
      </c>
      <c r="DL10" s="31">
        <v>9.1999999999999998E-2</v>
      </c>
      <c r="DM10" s="31">
        <v>7.4800000000000005E-2</v>
      </c>
      <c r="DN10" s="31">
        <v>9.3600000000000003E-2</v>
      </c>
      <c r="DO10" s="31">
        <v>9.6600000000000005E-2</v>
      </c>
      <c r="DP10" s="31">
        <v>0</v>
      </c>
      <c r="DQ10" s="31">
        <v>8.3099999999999993E-2</v>
      </c>
      <c r="DR10" s="31">
        <v>8.1799999999999998E-2</v>
      </c>
      <c r="DS10" s="31">
        <v>8.7499999999999994E-2</v>
      </c>
      <c r="DT10" s="31">
        <v>9.0399999999999994E-2</v>
      </c>
      <c r="DU10" s="31">
        <v>0</v>
      </c>
      <c r="DV10" s="31">
        <v>8.5300000000000001E-2</v>
      </c>
      <c r="DW10" s="31">
        <v>8.3900000000000002E-2</v>
      </c>
      <c r="DX10" s="31">
        <v>8.43E-2</v>
      </c>
      <c r="DY10" s="31">
        <v>7.7700000000000005E-2</v>
      </c>
      <c r="DZ10" s="31">
        <v>8.7599999999999997E-2</v>
      </c>
      <c r="EA10" s="31">
        <v>9.1700000000000004E-2</v>
      </c>
      <c r="EB10" s="31">
        <v>9.01E-2</v>
      </c>
      <c r="EC10" s="31">
        <v>8.5300000000000001E-2</v>
      </c>
      <c r="ED10" s="31">
        <v>8.3599999999999994E-2</v>
      </c>
      <c r="EE10" s="31">
        <v>8.5500000000000007E-2</v>
      </c>
    </row>
    <row r="11" spans="1:135" x14ac:dyDescent="0.3">
      <c r="A11" s="31" t="s">
        <v>165</v>
      </c>
      <c r="B11">
        <v>1.3599999999999999E-2</v>
      </c>
      <c r="C11">
        <v>1.2699999999999999E-2</v>
      </c>
      <c r="D11">
        <v>1.29E-2</v>
      </c>
      <c r="E11">
        <v>1.2500000000000001E-2</v>
      </c>
      <c r="F11">
        <v>1.47E-2</v>
      </c>
      <c r="G11">
        <v>1.5599999999999999E-2</v>
      </c>
      <c r="H11">
        <v>1.5100000000000001E-2</v>
      </c>
      <c r="I11">
        <v>1.55E-2</v>
      </c>
      <c r="J11">
        <v>1.5100000000000001E-2</v>
      </c>
      <c r="K11">
        <v>1.55E-2</v>
      </c>
      <c r="L11">
        <v>1.5299999999999999E-2</v>
      </c>
      <c r="M11">
        <v>1.55E-2</v>
      </c>
      <c r="N11">
        <v>1.5900000000000001E-2</v>
      </c>
      <c r="O11">
        <v>1.54E-2</v>
      </c>
      <c r="P11">
        <v>1.52E-2</v>
      </c>
      <c r="Q11">
        <v>1.5599999999999999E-2</v>
      </c>
      <c r="R11">
        <v>1.46E-2</v>
      </c>
      <c r="S11">
        <v>1.34E-2</v>
      </c>
      <c r="T11">
        <v>1.46E-2</v>
      </c>
      <c r="U11">
        <v>1.44E-2</v>
      </c>
      <c r="V11">
        <v>1.35E-2</v>
      </c>
      <c r="W11">
        <v>1.37E-2</v>
      </c>
      <c r="X11">
        <v>1.37E-2</v>
      </c>
      <c r="Y11">
        <v>1.38E-2</v>
      </c>
      <c r="Z11">
        <v>1.2999999999999999E-2</v>
      </c>
      <c r="AA11">
        <v>1.41E-2</v>
      </c>
      <c r="AB11">
        <v>1.4200000000000001E-2</v>
      </c>
      <c r="AC11">
        <v>1.4500000000000001E-2</v>
      </c>
      <c r="AD11">
        <v>1.44E-2</v>
      </c>
      <c r="AE11">
        <v>1.4800000000000001E-2</v>
      </c>
      <c r="AF11">
        <v>1.43E-2</v>
      </c>
      <c r="AG11">
        <v>1.4E-2</v>
      </c>
      <c r="AH11">
        <v>1.46E-2</v>
      </c>
      <c r="AI11">
        <v>1.4E-2</v>
      </c>
      <c r="AJ11">
        <v>1.43E-2</v>
      </c>
      <c r="AK11">
        <v>1.43E-2</v>
      </c>
      <c r="AL11">
        <v>1.3899999999999999E-2</v>
      </c>
      <c r="AM11">
        <v>1.43E-2</v>
      </c>
      <c r="AN11">
        <v>1.41E-2</v>
      </c>
      <c r="AO11">
        <v>1.44E-2</v>
      </c>
      <c r="AP11">
        <v>1.4E-2</v>
      </c>
      <c r="AQ11">
        <v>1.4200000000000001E-2</v>
      </c>
      <c r="AR11">
        <v>1.34E-2</v>
      </c>
      <c r="AS11">
        <v>1.2999999999999999E-2</v>
      </c>
      <c r="AT11">
        <v>1.43E-2</v>
      </c>
      <c r="AU11">
        <v>1.41E-2</v>
      </c>
      <c r="AV11">
        <v>0</v>
      </c>
      <c r="AW11">
        <v>0</v>
      </c>
      <c r="AX11">
        <v>1.3100000000000001E-2</v>
      </c>
      <c r="AY11">
        <v>1.43E-2</v>
      </c>
      <c r="AZ11">
        <v>1.2699999999999999E-2</v>
      </c>
      <c r="BA11">
        <v>1.26E-2</v>
      </c>
      <c r="BB11">
        <v>0</v>
      </c>
      <c r="BC11">
        <v>0</v>
      </c>
      <c r="BD11">
        <v>1.2500000000000001E-2</v>
      </c>
      <c r="BE11">
        <v>0</v>
      </c>
      <c r="BF11">
        <v>0</v>
      </c>
      <c r="BG11">
        <v>1.34E-2</v>
      </c>
      <c r="BH11">
        <v>1.35E-2</v>
      </c>
      <c r="BI11">
        <v>1.35E-2</v>
      </c>
      <c r="BJ11">
        <v>1.3599999999999999E-2</v>
      </c>
      <c r="BK11">
        <v>1.3599999999999999E-2</v>
      </c>
      <c r="BL11">
        <v>1.35E-2</v>
      </c>
      <c r="BM11">
        <v>1.2999999999999999E-2</v>
      </c>
      <c r="BN11">
        <v>1.3100000000000001E-2</v>
      </c>
      <c r="BO11">
        <v>1.3599999999999999E-2</v>
      </c>
      <c r="BP11">
        <v>1.29E-2</v>
      </c>
      <c r="BQ11">
        <v>1.34E-2</v>
      </c>
      <c r="BR11">
        <v>1.2200000000000001E-2</v>
      </c>
      <c r="BS11">
        <v>1.3299999999999999E-2</v>
      </c>
      <c r="BT11">
        <v>1.3299999999999999E-2</v>
      </c>
      <c r="BU11">
        <v>1.26E-2</v>
      </c>
      <c r="BV11">
        <v>1.3299999999999999E-2</v>
      </c>
      <c r="BW11">
        <v>1.3299999999999999E-2</v>
      </c>
      <c r="BX11" s="31">
        <v>1.46E-2</v>
      </c>
      <c r="BY11" s="31">
        <v>1.47E-2</v>
      </c>
      <c r="BZ11" s="31">
        <v>1.38E-2</v>
      </c>
      <c r="CA11" s="31">
        <v>1.1900000000000001E-2</v>
      </c>
      <c r="CB11" s="31">
        <v>0</v>
      </c>
      <c r="CC11" s="31">
        <v>1.3899999999999999E-2</v>
      </c>
      <c r="CD11" s="31">
        <v>0</v>
      </c>
      <c r="CE11" s="31">
        <v>1.4800000000000001E-2</v>
      </c>
      <c r="CF11" s="31">
        <v>1.38E-2</v>
      </c>
      <c r="CG11" s="31">
        <v>1.44E-2</v>
      </c>
      <c r="CH11" s="31">
        <v>1.4500000000000001E-2</v>
      </c>
      <c r="CI11" s="31">
        <v>1.46E-2</v>
      </c>
      <c r="CJ11" s="31">
        <v>1.35E-2</v>
      </c>
      <c r="CK11" s="31">
        <v>1.4500000000000001E-2</v>
      </c>
      <c r="CL11" s="31">
        <v>1.2800000000000001E-2</v>
      </c>
      <c r="CM11" s="31">
        <v>1.5299999999999999E-2</v>
      </c>
      <c r="CN11" s="31">
        <v>1.43E-2</v>
      </c>
      <c r="CO11" s="31">
        <v>1.4E-2</v>
      </c>
      <c r="CP11" s="31">
        <v>1.3100000000000001E-2</v>
      </c>
      <c r="CQ11" s="31">
        <v>1.2699999999999999E-2</v>
      </c>
      <c r="CR11" s="31">
        <v>1.55E-2</v>
      </c>
      <c r="CS11" s="31">
        <v>1.61E-2</v>
      </c>
      <c r="CT11" s="31">
        <v>1.34E-2</v>
      </c>
      <c r="CU11" s="31">
        <v>1.2500000000000001E-2</v>
      </c>
      <c r="CV11" s="31">
        <v>1.3100000000000001E-2</v>
      </c>
      <c r="CW11" s="31">
        <v>1.3299999999999999E-2</v>
      </c>
      <c r="CX11" s="31">
        <v>1.5100000000000001E-2</v>
      </c>
      <c r="CY11" s="31">
        <v>1.46E-2</v>
      </c>
      <c r="CZ11" s="31">
        <v>1.3100000000000001E-2</v>
      </c>
      <c r="DA11" s="31">
        <v>1.49E-2</v>
      </c>
      <c r="DB11" s="31">
        <v>1.3100000000000001E-2</v>
      </c>
      <c r="DC11" s="31">
        <v>1.3899999999999999E-2</v>
      </c>
      <c r="DD11" s="31">
        <v>1.43E-2</v>
      </c>
      <c r="DE11" s="31">
        <v>1.34E-2</v>
      </c>
      <c r="DF11" s="31">
        <v>1.52E-2</v>
      </c>
      <c r="DG11" s="31">
        <v>1.43E-2</v>
      </c>
      <c r="DH11" s="31">
        <v>1.41E-2</v>
      </c>
      <c r="DI11" s="31">
        <v>1.29E-2</v>
      </c>
      <c r="DJ11" s="31">
        <v>1.4E-2</v>
      </c>
      <c r="DK11" s="31">
        <v>1.2699999999999999E-2</v>
      </c>
      <c r="DL11" s="31">
        <v>1.3899999999999999E-2</v>
      </c>
      <c r="DM11" s="31">
        <v>1.6899999999999998E-2</v>
      </c>
      <c r="DN11" s="31">
        <v>1.44E-2</v>
      </c>
      <c r="DO11" s="31">
        <v>1.37E-2</v>
      </c>
      <c r="DP11" s="31">
        <v>1.5100000000000001E-2</v>
      </c>
      <c r="DQ11" s="31">
        <v>1.2800000000000001E-2</v>
      </c>
      <c r="DR11" s="31">
        <v>1.5599999999999999E-2</v>
      </c>
      <c r="DS11" s="31">
        <v>1.4500000000000001E-2</v>
      </c>
      <c r="DT11" s="31">
        <v>1.4500000000000001E-2</v>
      </c>
      <c r="DU11" s="31">
        <v>1.47E-2</v>
      </c>
      <c r="DV11" s="31">
        <v>1.4800000000000001E-2</v>
      </c>
      <c r="DW11" s="31">
        <v>1.4500000000000001E-2</v>
      </c>
      <c r="DX11" s="31">
        <v>1.3899999999999999E-2</v>
      </c>
      <c r="DY11" s="31">
        <v>1.43E-2</v>
      </c>
      <c r="DZ11" s="31">
        <v>1.44E-2</v>
      </c>
      <c r="EA11" s="31">
        <v>1.35E-2</v>
      </c>
      <c r="EB11" s="31">
        <v>1.3599999999999999E-2</v>
      </c>
      <c r="EC11" s="31">
        <v>1.4500000000000001E-2</v>
      </c>
      <c r="ED11" s="31">
        <v>1.4500000000000001E-2</v>
      </c>
      <c r="EE11" s="31">
        <v>1.44E-2</v>
      </c>
    </row>
    <row r="12" spans="1:135" x14ac:dyDescent="0.3">
      <c r="A12" s="31" t="s">
        <v>166</v>
      </c>
      <c r="B12">
        <v>2.3099999999999999E-2</v>
      </c>
      <c r="C12">
        <v>2.5600000000000001E-2</v>
      </c>
      <c r="D12">
        <v>2.5000000000000001E-2</v>
      </c>
      <c r="E12">
        <v>2.4899999999999999E-2</v>
      </c>
      <c r="F12">
        <v>2.0400000000000001E-2</v>
      </c>
      <c r="G12">
        <v>1.78E-2</v>
      </c>
      <c r="H12">
        <v>2.01E-2</v>
      </c>
      <c r="I12">
        <v>1.9800000000000002E-2</v>
      </c>
      <c r="J12">
        <v>1.8800000000000001E-2</v>
      </c>
      <c r="K12">
        <v>1.7999999999999999E-2</v>
      </c>
      <c r="L12">
        <v>1.95E-2</v>
      </c>
      <c r="M12">
        <v>2.07E-2</v>
      </c>
      <c r="N12">
        <v>2.0899999999999998E-2</v>
      </c>
      <c r="O12">
        <v>2.1000000000000001E-2</v>
      </c>
      <c r="P12">
        <v>1.9E-2</v>
      </c>
      <c r="Q12">
        <v>2.0299999999999999E-2</v>
      </c>
      <c r="R12">
        <v>2.18E-2</v>
      </c>
      <c r="S12">
        <v>2.5499999999999998E-2</v>
      </c>
      <c r="T12">
        <v>2.35E-2</v>
      </c>
      <c r="U12">
        <v>2.3599999999999999E-2</v>
      </c>
      <c r="V12">
        <v>2.3699999999999999E-2</v>
      </c>
      <c r="W12">
        <v>2.5399999999999999E-2</v>
      </c>
      <c r="X12">
        <v>2.2499999999999999E-2</v>
      </c>
      <c r="Y12">
        <v>2.4299999999999999E-2</v>
      </c>
      <c r="Z12">
        <v>2.53E-2</v>
      </c>
      <c r="AA12">
        <v>2.46E-2</v>
      </c>
      <c r="AB12">
        <v>2.2499999999999999E-2</v>
      </c>
      <c r="AC12">
        <v>2.1600000000000001E-2</v>
      </c>
      <c r="AD12">
        <v>2.29E-2</v>
      </c>
      <c r="AE12">
        <v>2.5000000000000001E-2</v>
      </c>
      <c r="AF12">
        <v>2.4E-2</v>
      </c>
      <c r="AG12">
        <v>2.2599999999999999E-2</v>
      </c>
      <c r="AH12">
        <v>2.4500000000000001E-2</v>
      </c>
      <c r="AI12">
        <v>2.23E-2</v>
      </c>
      <c r="AJ12">
        <v>2.3900000000000001E-2</v>
      </c>
      <c r="AK12">
        <v>2.35E-2</v>
      </c>
      <c r="AL12">
        <v>2.4500000000000001E-2</v>
      </c>
      <c r="AM12">
        <v>2.5000000000000001E-2</v>
      </c>
      <c r="AN12">
        <v>2.6100000000000002E-2</v>
      </c>
      <c r="AO12">
        <v>2.5399999999999999E-2</v>
      </c>
      <c r="AP12">
        <v>2.29E-2</v>
      </c>
      <c r="AQ12">
        <v>2.7799999999999998E-2</v>
      </c>
      <c r="AR12">
        <v>2.2499999999999999E-2</v>
      </c>
      <c r="AS12">
        <v>2.5499999999999998E-2</v>
      </c>
      <c r="AT12">
        <v>2.5100000000000001E-2</v>
      </c>
      <c r="AU12">
        <v>2.5600000000000001E-2</v>
      </c>
      <c r="AV12">
        <v>0</v>
      </c>
      <c r="AW12">
        <v>0</v>
      </c>
      <c r="AX12">
        <v>0</v>
      </c>
      <c r="AY12">
        <v>2.5700000000000001E-2</v>
      </c>
      <c r="AZ12">
        <v>2.5399999999999999E-2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 t="s">
        <v>160</v>
      </c>
      <c r="BH12">
        <v>0</v>
      </c>
      <c r="BI12">
        <v>2.47E-2</v>
      </c>
      <c r="BJ12">
        <v>2.4E-2</v>
      </c>
      <c r="BK12">
        <v>2.5700000000000001E-2</v>
      </c>
      <c r="BL12">
        <v>2.63E-2</v>
      </c>
      <c r="BM12">
        <v>3.04E-2</v>
      </c>
      <c r="BN12">
        <v>2.3599999999999999E-2</v>
      </c>
      <c r="BO12">
        <v>2.58E-2</v>
      </c>
      <c r="BP12">
        <v>2.8000000000000001E-2</v>
      </c>
      <c r="BQ12">
        <v>2.8500000000000001E-2</v>
      </c>
      <c r="BR12">
        <v>2.7400000000000001E-2</v>
      </c>
      <c r="BS12">
        <v>2.3900000000000001E-2</v>
      </c>
      <c r="BT12">
        <v>1.9599999999999999E-2</v>
      </c>
      <c r="BU12">
        <v>1.8100000000000002E-2</v>
      </c>
      <c r="BV12">
        <v>2.5000000000000001E-2</v>
      </c>
      <c r="BW12">
        <v>2.3900000000000001E-2</v>
      </c>
      <c r="BX12" s="31">
        <v>2.01E-2</v>
      </c>
      <c r="BY12" s="31">
        <v>1.8700000000000001E-2</v>
      </c>
      <c r="BZ12" s="31">
        <v>1.9300000000000001E-2</v>
      </c>
      <c r="CA12" s="31">
        <v>2.53E-2</v>
      </c>
      <c r="CB12" s="31">
        <v>0.03</v>
      </c>
      <c r="CC12" s="31">
        <v>3.44E-2</v>
      </c>
      <c r="CD12" s="31">
        <v>2.87E-2</v>
      </c>
      <c r="CE12" s="31">
        <v>2.06E-2</v>
      </c>
      <c r="CF12" s="31">
        <v>2.3400000000000001E-2</v>
      </c>
      <c r="CG12" s="31">
        <v>2.1399999999999999E-2</v>
      </c>
      <c r="CH12" s="31">
        <v>1.9099999999999999E-2</v>
      </c>
      <c r="CI12" s="31">
        <v>2.2200000000000001E-2</v>
      </c>
      <c r="CJ12" s="31">
        <v>3.2899999999999999E-2</v>
      </c>
      <c r="CK12" s="31">
        <v>2.06E-2</v>
      </c>
      <c r="CL12" s="31">
        <v>2.41E-2</v>
      </c>
      <c r="CM12" s="31">
        <v>0.02</v>
      </c>
      <c r="CN12" s="31">
        <v>2.1600000000000001E-2</v>
      </c>
      <c r="CO12" s="31">
        <v>2.18E-2</v>
      </c>
      <c r="CP12" s="31">
        <v>0</v>
      </c>
      <c r="CQ12" s="31">
        <v>2.5499999999999998E-2</v>
      </c>
      <c r="CR12" s="31">
        <v>1.9699999999999999E-2</v>
      </c>
      <c r="CS12" s="31">
        <v>2.1499999999999998E-2</v>
      </c>
      <c r="CT12" s="31">
        <v>2.64E-2</v>
      </c>
      <c r="CU12" s="31">
        <v>2.3300000000000001E-2</v>
      </c>
      <c r="CV12" s="31">
        <v>2.6599999999999999E-2</v>
      </c>
      <c r="CW12" s="31">
        <v>0</v>
      </c>
      <c r="CX12" s="31">
        <v>1.8499999999999999E-2</v>
      </c>
      <c r="CY12" s="31">
        <v>2.5499999999999998E-2</v>
      </c>
      <c r="CZ12" s="31">
        <v>2.4400000000000002E-2</v>
      </c>
      <c r="DA12" s="31">
        <v>2.7400000000000001E-2</v>
      </c>
      <c r="DB12" s="31">
        <v>2.5100000000000001E-2</v>
      </c>
      <c r="DC12" s="31">
        <v>2.06E-2</v>
      </c>
      <c r="DD12" s="31">
        <v>0</v>
      </c>
      <c r="DE12" s="31">
        <v>3.2599999999999997E-2</v>
      </c>
      <c r="DF12" s="31">
        <v>2.1100000000000001E-2</v>
      </c>
      <c r="DG12" s="31">
        <v>2.1999999999999999E-2</v>
      </c>
      <c r="DH12" s="31">
        <v>2.1100000000000001E-2</v>
      </c>
      <c r="DI12" s="31">
        <v>2.8500000000000001E-2</v>
      </c>
      <c r="DJ12" s="31">
        <v>0.02</v>
      </c>
      <c r="DK12" s="31">
        <v>2.7900000000000001E-2</v>
      </c>
      <c r="DL12" s="31">
        <v>2.4799999999999999E-2</v>
      </c>
      <c r="DM12" s="31">
        <v>2.0500000000000001E-2</v>
      </c>
      <c r="DN12" s="31">
        <v>2.7300000000000001E-2</v>
      </c>
      <c r="DO12" s="31">
        <v>2.58E-2</v>
      </c>
      <c r="DP12" s="31">
        <v>2.1399999999999999E-2</v>
      </c>
      <c r="DQ12" s="31">
        <v>2.58E-2</v>
      </c>
      <c r="DR12" s="31">
        <v>2.0799999999999999E-2</v>
      </c>
      <c r="DS12" s="31">
        <v>2.6599999999999999E-2</v>
      </c>
      <c r="DT12" s="31">
        <v>2.52E-2</v>
      </c>
      <c r="DU12" s="31">
        <v>2.3599999999999999E-2</v>
      </c>
      <c r="DV12" s="31">
        <v>2.2800000000000001E-2</v>
      </c>
      <c r="DW12" s="31">
        <v>2.4799999999999999E-2</v>
      </c>
      <c r="DX12" s="31">
        <v>2.2599999999999999E-2</v>
      </c>
      <c r="DY12" s="31">
        <v>2.5100000000000001E-2</v>
      </c>
      <c r="DZ12" s="31">
        <v>2.3E-2</v>
      </c>
      <c r="EA12" s="31">
        <v>2.63E-2</v>
      </c>
      <c r="EB12" s="31">
        <v>2.4400000000000002E-2</v>
      </c>
      <c r="EC12" s="31">
        <v>2.1499999999999998E-2</v>
      </c>
      <c r="ED12" s="31">
        <v>2.35E-2</v>
      </c>
      <c r="EE12" s="31">
        <v>0</v>
      </c>
    </row>
    <row r="13" spans="1:135" x14ac:dyDescent="0.3">
      <c r="A13" s="31" t="s">
        <v>167</v>
      </c>
      <c r="B13">
        <v>1.72E-2</v>
      </c>
      <c r="C13">
        <v>1.5699999999999999E-2</v>
      </c>
      <c r="D13">
        <v>1.55E-2</v>
      </c>
      <c r="E13">
        <v>1.61E-2</v>
      </c>
      <c r="F13">
        <v>1.72E-2</v>
      </c>
      <c r="G13">
        <v>1.7299999999999999E-2</v>
      </c>
      <c r="H13">
        <v>1.78E-2</v>
      </c>
      <c r="I13">
        <v>1.7299999999999999E-2</v>
      </c>
      <c r="J13">
        <v>1.7299999999999999E-2</v>
      </c>
      <c r="K13">
        <v>1.6799999999999999E-2</v>
      </c>
      <c r="L13">
        <v>1.7999999999999999E-2</v>
      </c>
      <c r="M13">
        <v>1.7500000000000002E-2</v>
      </c>
      <c r="N13">
        <v>1.7500000000000002E-2</v>
      </c>
      <c r="O13">
        <v>1.7600000000000001E-2</v>
      </c>
      <c r="P13">
        <v>0</v>
      </c>
      <c r="Q13">
        <v>0</v>
      </c>
      <c r="R13">
        <v>1.8700000000000001E-2</v>
      </c>
      <c r="S13">
        <v>1.89E-2</v>
      </c>
      <c r="T13">
        <v>1.9199999999999998E-2</v>
      </c>
      <c r="U13">
        <v>1.8700000000000001E-2</v>
      </c>
      <c r="V13">
        <v>1.9800000000000002E-2</v>
      </c>
      <c r="W13">
        <v>2.01E-2</v>
      </c>
      <c r="X13">
        <v>0.02</v>
      </c>
      <c r="Y13">
        <v>1.9699999999999999E-2</v>
      </c>
      <c r="Z13">
        <v>2.0199999999999999E-2</v>
      </c>
      <c r="AA13">
        <v>0.02</v>
      </c>
      <c r="AB13">
        <v>1.9300000000000001E-2</v>
      </c>
      <c r="AC13">
        <v>0.02</v>
      </c>
      <c r="AD13">
        <v>1.95E-2</v>
      </c>
      <c r="AE13">
        <v>1.9400000000000001E-2</v>
      </c>
      <c r="AF13">
        <v>1.9599999999999999E-2</v>
      </c>
      <c r="AG13">
        <v>1.9400000000000001E-2</v>
      </c>
      <c r="AH13">
        <v>1.9599999999999999E-2</v>
      </c>
      <c r="AI13">
        <v>1.9800000000000002E-2</v>
      </c>
      <c r="AJ13">
        <v>1.9599999999999999E-2</v>
      </c>
      <c r="AK13">
        <v>1.9E-2</v>
      </c>
      <c r="AL13">
        <v>2.0400000000000001E-2</v>
      </c>
      <c r="AM13">
        <v>1.8599999999999998E-2</v>
      </c>
      <c r="AN13">
        <v>1.8800000000000001E-2</v>
      </c>
      <c r="AO13">
        <v>1.8200000000000001E-2</v>
      </c>
      <c r="AP13">
        <v>1.9199999999999998E-2</v>
      </c>
      <c r="AQ13">
        <v>1.83E-2</v>
      </c>
      <c r="AR13">
        <v>1.8100000000000002E-2</v>
      </c>
      <c r="AS13">
        <v>1.8700000000000001E-2</v>
      </c>
      <c r="AT13">
        <v>1.8700000000000001E-2</v>
      </c>
      <c r="AU13">
        <v>1.9099999999999999E-2</v>
      </c>
      <c r="AV13">
        <v>1.72E-2</v>
      </c>
      <c r="AW13">
        <v>1.67E-2</v>
      </c>
      <c r="AX13">
        <v>1.9199999999999998E-2</v>
      </c>
      <c r="AY13">
        <v>1.9099999999999999E-2</v>
      </c>
      <c r="AZ13">
        <v>1.83E-2</v>
      </c>
      <c r="BA13">
        <v>1.9199999999999998E-2</v>
      </c>
      <c r="BB13">
        <v>1.6899999999999998E-2</v>
      </c>
      <c r="BC13">
        <v>1.7000000000000001E-2</v>
      </c>
      <c r="BD13">
        <v>1.7500000000000002E-2</v>
      </c>
      <c r="BE13">
        <v>1.6799999999999999E-2</v>
      </c>
      <c r="BF13">
        <v>1.6899999999999998E-2</v>
      </c>
      <c r="BG13">
        <v>1.9599999999999999E-2</v>
      </c>
      <c r="BH13">
        <v>1.9300000000000001E-2</v>
      </c>
      <c r="BI13">
        <v>1.9199999999999998E-2</v>
      </c>
      <c r="BJ13">
        <v>1.9199999999999998E-2</v>
      </c>
      <c r="BK13">
        <v>1.8499999999999999E-2</v>
      </c>
      <c r="BL13">
        <v>2.0400000000000001E-2</v>
      </c>
      <c r="BM13">
        <v>1.9599999999999999E-2</v>
      </c>
      <c r="BN13">
        <v>1.9599999999999999E-2</v>
      </c>
      <c r="BO13">
        <v>1.9099999999999999E-2</v>
      </c>
      <c r="BP13">
        <v>1.9E-2</v>
      </c>
      <c r="BQ13">
        <v>1.9699999999999999E-2</v>
      </c>
      <c r="BR13">
        <v>1.9300000000000001E-2</v>
      </c>
      <c r="BS13">
        <v>1.8700000000000001E-2</v>
      </c>
      <c r="BT13">
        <v>1.9400000000000001E-2</v>
      </c>
      <c r="BU13">
        <v>1.6899999999999998E-2</v>
      </c>
      <c r="BV13">
        <v>2.01E-2</v>
      </c>
      <c r="BW13">
        <v>0.02</v>
      </c>
      <c r="BX13" s="31">
        <v>0</v>
      </c>
      <c r="BY13" s="31">
        <v>1.7399999999999999E-2</v>
      </c>
      <c r="BZ13" s="31">
        <v>1.66E-2</v>
      </c>
      <c r="CA13" s="31">
        <v>1.5800000000000002E-2</v>
      </c>
      <c r="CB13" s="31">
        <v>1.5599999999999999E-2</v>
      </c>
      <c r="CC13" s="31">
        <v>1.5800000000000002E-2</v>
      </c>
      <c r="CD13" s="31">
        <v>1.52E-2</v>
      </c>
      <c r="CE13" s="31">
        <v>1.7299999999999999E-2</v>
      </c>
      <c r="CF13" s="31">
        <v>1.6199999999999999E-2</v>
      </c>
      <c r="CG13" s="31">
        <v>0</v>
      </c>
      <c r="CH13" s="31">
        <v>1.7500000000000002E-2</v>
      </c>
      <c r="CI13" s="31">
        <v>1.67E-2</v>
      </c>
      <c r="CJ13" s="31">
        <v>1.6500000000000001E-2</v>
      </c>
      <c r="CK13" s="31">
        <v>1.67E-2</v>
      </c>
      <c r="CL13" s="31">
        <v>1.66E-2</v>
      </c>
      <c r="CM13" s="31">
        <v>1.7399999999999999E-2</v>
      </c>
      <c r="CN13" s="31">
        <v>1.7299999999999999E-2</v>
      </c>
      <c r="CO13" s="31">
        <v>1.7100000000000001E-2</v>
      </c>
      <c r="CP13" s="31">
        <v>1.95E-2</v>
      </c>
      <c r="CQ13" s="31">
        <v>1.9300000000000001E-2</v>
      </c>
      <c r="CR13" s="31">
        <v>1.6199999999999999E-2</v>
      </c>
      <c r="CS13" s="31">
        <v>1.6500000000000001E-2</v>
      </c>
      <c r="CT13" s="31">
        <v>0.02</v>
      </c>
      <c r="CU13" s="31">
        <v>1.7899999999999999E-2</v>
      </c>
      <c r="CV13" s="31">
        <v>0.02</v>
      </c>
      <c r="CW13" s="31">
        <v>1.89E-2</v>
      </c>
      <c r="CX13" s="31">
        <v>1.6899999999999998E-2</v>
      </c>
      <c r="CY13" s="31">
        <v>1.9400000000000001E-2</v>
      </c>
      <c r="CZ13" s="31">
        <v>1.84E-2</v>
      </c>
      <c r="DA13" s="31">
        <v>1.9099999999999999E-2</v>
      </c>
      <c r="DB13" s="31">
        <v>1.8800000000000001E-2</v>
      </c>
      <c r="DC13" s="31">
        <v>1.6500000000000001E-2</v>
      </c>
      <c r="DD13" s="31">
        <v>1.6500000000000001E-2</v>
      </c>
      <c r="DE13" s="31">
        <v>1.6E-2</v>
      </c>
      <c r="DF13" s="31">
        <v>1.83E-2</v>
      </c>
      <c r="DG13" s="31">
        <v>1.7100000000000001E-2</v>
      </c>
      <c r="DH13" s="31">
        <v>1.7399999999999999E-2</v>
      </c>
      <c r="DI13" s="31">
        <v>1.6400000000000001E-2</v>
      </c>
      <c r="DJ13" s="31">
        <v>1.72E-2</v>
      </c>
      <c r="DK13" s="31">
        <v>1.66E-2</v>
      </c>
      <c r="DL13" s="31">
        <v>1.84E-2</v>
      </c>
      <c r="DM13" s="31">
        <v>1.44E-2</v>
      </c>
      <c r="DN13" s="31">
        <v>1.9400000000000001E-2</v>
      </c>
      <c r="DO13" s="31">
        <v>1.9099999999999999E-2</v>
      </c>
      <c r="DP13" s="31">
        <v>1.7500000000000002E-2</v>
      </c>
      <c r="DQ13" s="31">
        <v>0.02</v>
      </c>
      <c r="DR13" s="31">
        <v>1.7100000000000001E-2</v>
      </c>
      <c r="DS13" s="31">
        <v>1.9599999999999999E-2</v>
      </c>
      <c r="DT13" s="31">
        <v>1.89E-2</v>
      </c>
      <c r="DU13" s="31">
        <v>1.9099999999999999E-2</v>
      </c>
      <c r="DV13" s="31">
        <v>1.84E-2</v>
      </c>
      <c r="DW13" s="31">
        <v>2.01E-2</v>
      </c>
      <c r="DX13" s="31">
        <v>1.9400000000000001E-2</v>
      </c>
      <c r="DY13" s="31">
        <v>1.9300000000000001E-2</v>
      </c>
      <c r="DZ13" s="31">
        <v>1.9E-2</v>
      </c>
      <c r="EA13" s="31">
        <v>1.9599999999999999E-2</v>
      </c>
      <c r="EB13" s="31">
        <v>1.9300000000000001E-2</v>
      </c>
      <c r="EC13" s="31">
        <v>1.77E-2</v>
      </c>
      <c r="ED13" s="31">
        <v>1.9599999999999999E-2</v>
      </c>
      <c r="EE13" s="31">
        <v>1.9900000000000001E-2</v>
      </c>
    </row>
    <row r="14" spans="1:135" x14ac:dyDescent="0.3">
      <c r="A14" s="31" t="s">
        <v>190</v>
      </c>
      <c r="B14">
        <v>4.4699999999999997E-2</v>
      </c>
      <c r="C14">
        <v>4.5999999999999999E-2</v>
      </c>
      <c r="D14">
        <v>4.7199999999999999E-2</v>
      </c>
      <c r="E14">
        <v>4.4699999999999997E-2</v>
      </c>
      <c r="F14">
        <v>4.6399999999999997E-2</v>
      </c>
      <c r="G14">
        <v>4.4999999999999998E-2</v>
      </c>
      <c r="H14">
        <v>4.7699999999999999E-2</v>
      </c>
      <c r="I14">
        <v>4.5400000000000003E-2</v>
      </c>
      <c r="J14">
        <v>4.7500000000000001E-2</v>
      </c>
      <c r="K14">
        <v>4.6800000000000001E-2</v>
      </c>
      <c r="L14">
        <v>4.48E-2</v>
      </c>
      <c r="M14">
        <v>0</v>
      </c>
      <c r="N14">
        <v>0</v>
      </c>
      <c r="O14">
        <v>0</v>
      </c>
      <c r="P14">
        <v>4.7699999999999999E-2</v>
      </c>
      <c r="Q14">
        <v>0</v>
      </c>
      <c r="R14">
        <v>4.6899999999999997E-2</v>
      </c>
      <c r="S14">
        <v>4.9399999999999999E-2</v>
      </c>
      <c r="T14">
        <v>4.7800000000000002E-2</v>
      </c>
      <c r="U14">
        <v>4.7E-2</v>
      </c>
      <c r="V14">
        <v>5.0299999999999997E-2</v>
      </c>
      <c r="W14">
        <v>4.8899999999999999E-2</v>
      </c>
      <c r="X14">
        <v>5.11E-2</v>
      </c>
      <c r="Y14">
        <v>4.9399999999999999E-2</v>
      </c>
      <c r="Z14">
        <v>4.9099999999999998E-2</v>
      </c>
      <c r="AA14">
        <v>0.05</v>
      </c>
      <c r="AB14">
        <v>4.9399999999999999E-2</v>
      </c>
      <c r="AC14">
        <v>4.82E-2</v>
      </c>
      <c r="AD14">
        <v>4.9099999999999998E-2</v>
      </c>
      <c r="AE14">
        <v>4.9399999999999999E-2</v>
      </c>
      <c r="AF14">
        <v>4.5999999999999999E-2</v>
      </c>
      <c r="AG14">
        <v>4.9700000000000001E-2</v>
      </c>
      <c r="AH14">
        <v>4.9000000000000002E-2</v>
      </c>
      <c r="AI14">
        <v>4.8399999999999999E-2</v>
      </c>
      <c r="AJ14">
        <v>4.7100000000000003E-2</v>
      </c>
      <c r="AK14">
        <v>4.7699999999999999E-2</v>
      </c>
      <c r="AL14">
        <v>4.8300000000000003E-2</v>
      </c>
      <c r="AM14">
        <v>4.7100000000000003E-2</v>
      </c>
      <c r="AN14">
        <v>4.7899999999999998E-2</v>
      </c>
      <c r="AO14">
        <v>4.8300000000000003E-2</v>
      </c>
      <c r="AP14">
        <v>4.7300000000000002E-2</v>
      </c>
      <c r="AQ14">
        <v>4.7500000000000001E-2</v>
      </c>
      <c r="AR14">
        <v>5.0799999999999998E-2</v>
      </c>
      <c r="AS14">
        <v>4.6800000000000001E-2</v>
      </c>
      <c r="AT14">
        <v>4.6899999999999997E-2</v>
      </c>
      <c r="AU14">
        <v>4.7800000000000002E-2</v>
      </c>
      <c r="AV14">
        <v>5.3100000000000001E-2</v>
      </c>
      <c r="AW14">
        <v>0</v>
      </c>
      <c r="AX14">
        <v>4.6899999999999997E-2</v>
      </c>
      <c r="AY14">
        <v>4.8899999999999999E-2</v>
      </c>
      <c r="AZ14">
        <v>4.6199999999999998E-2</v>
      </c>
      <c r="BA14">
        <v>4.8800000000000003E-2</v>
      </c>
      <c r="BB14">
        <v>5.4199999999999998E-2</v>
      </c>
      <c r="BC14">
        <v>0</v>
      </c>
      <c r="BD14">
        <v>0</v>
      </c>
      <c r="BE14">
        <v>0</v>
      </c>
      <c r="BF14">
        <v>0</v>
      </c>
      <c r="BG14">
        <v>4.8399999999999999E-2</v>
      </c>
      <c r="BH14">
        <v>4.7100000000000003E-2</v>
      </c>
      <c r="BI14">
        <v>5.0500000000000003E-2</v>
      </c>
      <c r="BJ14">
        <v>5.0700000000000002E-2</v>
      </c>
      <c r="BK14">
        <v>4.99E-2</v>
      </c>
      <c r="BL14">
        <v>4.9599999999999998E-2</v>
      </c>
      <c r="BM14">
        <v>4.9299999999999997E-2</v>
      </c>
      <c r="BN14">
        <v>4.8099999999999997E-2</v>
      </c>
      <c r="BO14">
        <v>4.8599999999999997E-2</v>
      </c>
      <c r="BP14">
        <v>4.7399999999999998E-2</v>
      </c>
      <c r="BQ14">
        <v>4.9399999999999999E-2</v>
      </c>
      <c r="BR14">
        <v>4.7100000000000003E-2</v>
      </c>
      <c r="BS14">
        <v>4.8300000000000003E-2</v>
      </c>
      <c r="BT14">
        <v>4.9700000000000001E-2</v>
      </c>
      <c r="BU14">
        <v>4.4600000000000001E-2</v>
      </c>
      <c r="BV14">
        <v>5.0099999999999999E-2</v>
      </c>
      <c r="BW14">
        <v>5.0599999999999999E-2</v>
      </c>
      <c r="BX14" s="31">
        <v>4.5699999999999998E-2</v>
      </c>
      <c r="BY14" s="31">
        <v>4.58E-2</v>
      </c>
      <c r="BZ14" s="31">
        <v>4.3900000000000002E-2</v>
      </c>
      <c r="CA14" s="31">
        <v>0</v>
      </c>
      <c r="CB14" s="31">
        <v>0</v>
      </c>
      <c r="CC14" s="31">
        <v>0</v>
      </c>
      <c r="CD14" s="31">
        <v>0</v>
      </c>
      <c r="CE14" s="31">
        <v>4.5199999999999997E-2</v>
      </c>
      <c r="CF14" s="31">
        <v>4.5400000000000003E-2</v>
      </c>
      <c r="CG14" s="31">
        <v>4.5499999999999999E-2</v>
      </c>
      <c r="CH14" s="31">
        <v>4.4600000000000001E-2</v>
      </c>
      <c r="CI14" s="31">
        <v>4.5400000000000003E-2</v>
      </c>
      <c r="CJ14" s="31">
        <v>0</v>
      </c>
      <c r="CK14" s="31">
        <v>4.58E-2</v>
      </c>
      <c r="CL14" s="31">
        <v>4.4299999999999999E-2</v>
      </c>
      <c r="CM14" s="31">
        <v>3.8800000000000001E-2</v>
      </c>
      <c r="CN14" s="31">
        <v>4.5400000000000003E-2</v>
      </c>
      <c r="CO14" s="31">
        <v>4.4699999999999997E-2</v>
      </c>
      <c r="CP14" s="31">
        <v>4.9299999999999997E-2</v>
      </c>
      <c r="CQ14" s="31">
        <v>4.8599999999999997E-2</v>
      </c>
      <c r="CR14" s="31">
        <v>3.7600000000000001E-2</v>
      </c>
      <c r="CS14" s="31">
        <v>3.8300000000000001E-2</v>
      </c>
      <c r="CT14" s="31">
        <v>4.99E-2</v>
      </c>
      <c r="CU14" s="31">
        <v>4.5999999999999999E-2</v>
      </c>
      <c r="CV14" s="31">
        <v>4.8300000000000003E-2</v>
      </c>
      <c r="CW14" s="31">
        <v>4.99E-2</v>
      </c>
      <c r="CX14" s="31">
        <v>3.8300000000000001E-2</v>
      </c>
      <c r="CY14" s="31">
        <v>5.0999999999999997E-2</v>
      </c>
      <c r="CZ14" s="31">
        <v>4.7500000000000001E-2</v>
      </c>
      <c r="DA14" s="31">
        <v>4.9200000000000001E-2</v>
      </c>
      <c r="DB14" s="31">
        <v>4.7399999999999998E-2</v>
      </c>
      <c r="DC14" s="31">
        <v>4.53E-2</v>
      </c>
      <c r="DD14" s="31">
        <v>4.5699999999999998E-2</v>
      </c>
      <c r="DE14" s="31">
        <v>0</v>
      </c>
      <c r="DF14" s="31">
        <v>4.1000000000000002E-2</v>
      </c>
      <c r="DG14" s="31">
        <v>4.6199999999999998E-2</v>
      </c>
      <c r="DH14" s="31">
        <v>4.5199999999999997E-2</v>
      </c>
      <c r="DI14" s="31">
        <v>0</v>
      </c>
      <c r="DJ14" s="31">
        <v>4.3799999999999999E-2</v>
      </c>
      <c r="DK14" s="31">
        <v>0</v>
      </c>
      <c r="DL14" s="31">
        <v>4.8899999999999999E-2</v>
      </c>
      <c r="DM14" s="31">
        <v>3.6600000000000001E-2</v>
      </c>
      <c r="DN14" s="31">
        <v>5.0500000000000003E-2</v>
      </c>
      <c r="DO14" s="31">
        <v>5.1700000000000003E-2</v>
      </c>
      <c r="DP14" s="31">
        <v>4.0099999999999997E-2</v>
      </c>
      <c r="DQ14" s="31">
        <v>4.9700000000000001E-2</v>
      </c>
      <c r="DR14" s="31">
        <v>3.8199999999999998E-2</v>
      </c>
      <c r="DS14" s="31">
        <v>4.8099999999999997E-2</v>
      </c>
      <c r="DT14" s="31">
        <v>4.8300000000000003E-2</v>
      </c>
      <c r="DU14" s="31">
        <v>4.7800000000000002E-2</v>
      </c>
      <c r="DV14" s="31">
        <v>4.9200000000000001E-2</v>
      </c>
      <c r="DW14" s="31">
        <v>4.65E-2</v>
      </c>
      <c r="DX14" s="31">
        <v>4.7699999999999999E-2</v>
      </c>
      <c r="DY14" s="31">
        <v>4.82E-2</v>
      </c>
      <c r="DZ14" s="31">
        <v>4.8899999999999999E-2</v>
      </c>
      <c r="EA14" s="31">
        <v>4.9599999999999998E-2</v>
      </c>
      <c r="EB14" s="31">
        <v>4.8300000000000003E-2</v>
      </c>
      <c r="EC14" s="31">
        <v>4.6100000000000002E-2</v>
      </c>
      <c r="ED14" s="31">
        <v>4.8399999999999999E-2</v>
      </c>
      <c r="EE14" s="31">
        <v>4.9299999999999997E-2</v>
      </c>
    </row>
    <row r="15" spans="1:135" x14ac:dyDescent="0.3">
      <c r="A15" s="31" t="s">
        <v>169</v>
      </c>
      <c r="B15">
        <v>0.05</v>
      </c>
      <c r="C15">
        <v>5.4800000000000001E-2</v>
      </c>
      <c r="D15">
        <v>5.5800000000000002E-2</v>
      </c>
      <c r="E15">
        <v>5.5100000000000003E-2</v>
      </c>
      <c r="F15">
        <v>4.8399999999999999E-2</v>
      </c>
      <c r="G15">
        <v>5.0599999999999999E-2</v>
      </c>
      <c r="H15">
        <v>4.9500000000000002E-2</v>
      </c>
      <c r="I15">
        <v>4.9299999999999997E-2</v>
      </c>
      <c r="J15">
        <v>4.8599999999999997E-2</v>
      </c>
      <c r="K15">
        <v>4.82E-2</v>
      </c>
      <c r="L15">
        <v>4.7E-2</v>
      </c>
      <c r="M15">
        <v>4.9000000000000002E-2</v>
      </c>
      <c r="N15">
        <v>5.0900000000000001E-2</v>
      </c>
      <c r="O15">
        <v>5.11E-2</v>
      </c>
      <c r="P15">
        <v>4.82E-2</v>
      </c>
      <c r="Q15">
        <v>5.0099999999999999E-2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8.3599999999999994E-2</v>
      </c>
      <c r="AW15">
        <v>8.2900000000000001E-2</v>
      </c>
      <c r="AX15">
        <v>0</v>
      </c>
      <c r="AY15">
        <v>0</v>
      </c>
      <c r="AZ15">
        <v>0</v>
      </c>
      <c r="BA15">
        <v>0</v>
      </c>
      <c r="BB15">
        <v>8.2600000000000007E-2</v>
      </c>
      <c r="BC15">
        <v>8.1299999999999997E-2</v>
      </c>
      <c r="BD15">
        <v>8.4199999999999997E-2</v>
      </c>
      <c r="BE15">
        <v>8.1100000000000005E-2</v>
      </c>
      <c r="BF15">
        <v>8.2699999999999996E-2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5.6099999999999997E-2</v>
      </c>
      <c r="BU15">
        <v>4.9099999999999998E-2</v>
      </c>
      <c r="BV15">
        <v>0</v>
      </c>
      <c r="BW15">
        <v>0</v>
      </c>
      <c r="BX15" s="31">
        <v>4.9700000000000001E-2</v>
      </c>
      <c r="BY15" s="31">
        <v>5.0099999999999999E-2</v>
      </c>
      <c r="BZ15" s="31">
        <v>0.05</v>
      </c>
      <c r="CA15" s="31">
        <v>4.4999999999999998E-2</v>
      </c>
      <c r="CB15" s="31">
        <v>6.8099999999999994E-2</v>
      </c>
      <c r="CC15" s="31">
        <v>7.2300000000000003E-2</v>
      </c>
      <c r="CD15" s="31">
        <v>6.7500000000000004E-2</v>
      </c>
      <c r="CE15" s="31">
        <v>4.9299999999999997E-2</v>
      </c>
      <c r="CF15" s="31">
        <v>4.8399999999999999E-2</v>
      </c>
      <c r="CG15" s="31">
        <v>4.8500000000000001E-2</v>
      </c>
      <c r="CH15" s="31">
        <v>5.0099999999999999E-2</v>
      </c>
      <c r="CI15" s="31">
        <v>4.9000000000000002E-2</v>
      </c>
      <c r="CJ15" s="31">
        <v>7.1400000000000005E-2</v>
      </c>
      <c r="CK15" s="31">
        <v>5.0700000000000002E-2</v>
      </c>
      <c r="CL15" s="31">
        <v>4.6899999999999997E-2</v>
      </c>
      <c r="CM15" s="31">
        <v>0</v>
      </c>
      <c r="CN15" s="31">
        <v>4.99E-2</v>
      </c>
      <c r="CO15" s="31">
        <v>4.9500000000000002E-2</v>
      </c>
      <c r="CP15" s="31">
        <v>0</v>
      </c>
      <c r="CQ15" s="31">
        <v>0</v>
      </c>
      <c r="CR15" s="31">
        <v>0</v>
      </c>
      <c r="CS15" s="31">
        <v>0</v>
      </c>
      <c r="CT15" s="31">
        <v>0</v>
      </c>
      <c r="CU15" s="31">
        <v>5.5100000000000003E-2</v>
      </c>
      <c r="CV15" s="31">
        <v>0</v>
      </c>
      <c r="CW15" s="31">
        <v>0</v>
      </c>
      <c r="CX15" s="31">
        <v>0</v>
      </c>
      <c r="CY15" s="31">
        <v>0</v>
      </c>
      <c r="CZ15" s="31">
        <v>0</v>
      </c>
      <c r="DA15" s="31">
        <v>0</v>
      </c>
      <c r="DB15" s="31">
        <v>0</v>
      </c>
      <c r="DC15" s="31">
        <v>5.0200000000000002E-2</v>
      </c>
      <c r="DD15" s="31">
        <v>4.9500000000000002E-2</v>
      </c>
      <c r="DE15" s="31">
        <v>6.88E-2</v>
      </c>
      <c r="DF15" s="31">
        <v>0</v>
      </c>
      <c r="DG15" s="31">
        <v>5.1700000000000003E-2</v>
      </c>
      <c r="DH15" s="31">
        <v>5.2200000000000003E-2</v>
      </c>
      <c r="DI15" s="31">
        <v>6.8400000000000002E-2</v>
      </c>
      <c r="DJ15" s="31">
        <v>4.9399999999999999E-2</v>
      </c>
      <c r="DK15" s="31">
        <v>6.8400000000000002E-2</v>
      </c>
      <c r="DL15" s="31">
        <v>0</v>
      </c>
      <c r="DM15" s="31">
        <v>0</v>
      </c>
      <c r="DN15" s="31">
        <v>0</v>
      </c>
      <c r="DO15" s="31">
        <v>0</v>
      </c>
      <c r="DP15" s="31">
        <v>0</v>
      </c>
      <c r="DQ15" s="31">
        <v>0</v>
      </c>
      <c r="DR15" s="31">
        <v>0</v>
      </c>
      <c r="DS15" s="31">
        <v>0</v>
      </c>
      <c r="DT15" s="31">
        <v>0</v>
      </c>
      <c r="DU15" s="31">
        <v>0</v>
      </c>
      <c r="DV15" s="31">
        <v>0</v>
      </c>
      <c r="DW15" s="31">
        <v>0</v>
      </c>
      <c r="DX15" s="31">
        <v>0</v>
      </c>
      <c r="DY15" s="31">
        <v>0</v>
      </c>
      <c r="DZ15" s="31">
        <v>0</v>
      </c>
      <c r="EA15" s="31">
        <v>0</v>
      </c>
      <c r="EB15" s="31">
        <v>0</v>
      </c>
      <c r="EC15" s="31">
        <v>4.8000000000000001E-2</v>
      </c>
      <c r="ED15" s="31">
        <v>0</v>
      </c>
      <c r="EE15" s="31">
        <v>0</v>
      </c>
    </row>
    <row r="16" spans="1:135" x14ac:dyDescent="0.3">
      <c r="A16" s="31" t="s">
        <v>170</v>
      </c>
      <c r="B16">
        <v>4.6600000000000003E-2</v>
      </c>
      <c r="C16">
        <v>5.5800000000000002E-2</v>
      </c>
      <c r="D16">
        <v>5.4300000000000001E-2</v>
      </c>
      <c r="E16">
        <v>5.5300000000000002E-2</v>
      </c>
      <c r="F16">
        <v>4.8899999999999999E-2</v>
      </c>
      <c r="G16">
        <v>5.0599999999999999E-2</v>
      </c>
      <c r="H16">
        <v>5.0799999999999998E-2</v>
      </c>
      <c r="I16">
        <v>5.0700000000000002E-2</v>
      </c>
      <c r="J16">
        <v>0</v>
      </c>
      <c r="K16">
        <v>5.33E-2</v>
      </c>
      <c r="L16">
        <v>0</v>
      </c>
      <c r="M16">
        <v>0</v>
      </c>
      <c r="N16">
        <v>0</v>
      </c>
      <c r="O16">
        <v>0</v>
      </c>
      <c r="P16" t="s">
        <v>160</v>
      </c>
      <c r="Q16">
        <v>5.0799999999999998E-2</v>
      </c>
      <c r="R16">
        <v>0</v>
      </c>
      <c r="S16">
        <v>6.0699999999999997E-2</v>
      </c>
      <c r="T16">
        <v>5.57E-2</v>
      </c>
      <c r="U16">
        <v>0</v>
      </c>
      <c r="V16">
        <v>5.8400000000000001E-2</v>
      </c>
      <c r="W16">
        <v>0</v>
      </c>
      <c r="X16">
        <v>0</v>
      </c>
      <c r="Y16">
        <v>0</v>
      </c>
      <c r="Z16">
        <v>0</v>
      </c>
      <c r="AA16">
        <v>5.4600000000000003E-2</v>
      </c>
      <c r="AB16">
        <v>0</v>
      </c>
      <c r="AC16">
        <v>5.6000000000000001E-2</v>
      </c>
      <c r="AD16">
        <v>0</v>
      </c>
      <c r="AE16">
        <v>0</v>
      </c>
      <c r="AF16">
        <v>5.5599999999999997E-2</v>
      </c>
      <c r="AG16">
        <v>5.9499999999999997E-2</v>
      </c>
      <c r="AH16">
        <v>0</v>
      </c>
      <c r="AI16">
        <v>0</v>
      </c>
      <c r="AJ16">
        <v>6.0600000000000001E-2</v>
      </c>
      <c r="AK16">
        <v>5.45E-2</v>
      </c>
      <c r="AL16">
        <v>5.5500000000000001E-2</v>
      </c>
      <c r="AM16">
        <v>0</v>
      </c>
      <c r="AN16">
        <v>5.2200000000000003E-2</v>
      </c>
      <c r="AO16">
        <v>5.7000000000000002E-2</v>
      </c>
      <c r="AP16">
        <v>4.7600000000000003E-2</v>
      </c>
      <c r="AQ16">
        <v>0</v>
      </c>
      <c r="AR16">
        <v>5.1400000000000001E-2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4.7E-2</v>
      </c>
      <c r="AY16">
        <v>5.6399999999999999E-2</v>
      </c>
      <c r="AZ16">
        <v>5.4300000000000001E-2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5.7200000000000001E-2</v>
      </c>
      <c r="BH16">
        <v>0</v>
      </c>
      <c r="BI16">
        <v>6.1199999999999997E-2</v>
      </c>
      <c r="BJ16">
        <v>5.91E-2</v>
      </c>
      <c r="BK16">
        <v>0</v>
      </c>
      <c r="BL16" t="s">
        <v>160</v>
      </c>
      <c r="BM16">
        <v>5.45E-2</v>
      </c>
      <c r="BN16">
        <v>0</v>
      </c>
      <c r="BO16">
        <v>0</v>
      </c>
      <c r="BP16">
        <v>0</v>
      </c>
      <c r="BQ16">
        <v>5.4899999999999997E-2</v>
      </c>
      <c r="BR16">
        <v>5.8799999999999998E-2</v>
      </c>
      <c r="BS16">
        <v>0</v>
      </c>
      <c r="BT16">
        <v>0</v>
      </c>
      <c r="BU16">
        <v>4.9799999999999997E-2</v>
      </c>
      <c r="BV16">
        <v>0</v>
      </c>
      <c r="BW16">
        <v>0</v>
      </c>
      <c r="BX16" s="31">
        <v>5.3400000000000003E-2</v>
      </c>
      <c r="BY16" s="31">
        <v>5.04E-2</v>
      </c>
      <c r="BZ16" s="31">
        <v>0</v>
      </c>
      <c r="CA16" s="31">
        <v>0</v>
      </c>
      <c r="CB16" s="31">
        <v>0</v>
      </c>
      <c r="CC16" s="31">
        <v>0</v>
      </c>
      <c r="CD16" s="31">
        <v>5.8999999999999997E-2</v>
      </c>
      <c r="CE16" s="31">
        <v>4.9200000000000001E-2</v>
      </c>
      <c r="CF16" s="31">
        <v>5.0500000000000003E-2</v>
      </c>
      <c r="CG16" s="31">
        <v>4.9799999999999997E-2</v>
      </c>
      <c r="CH16" s="31">
        <v>4.9700000000000001E-2</v>
      </c>
      <c r="CI16" s="31">
        <v>0</v>
      </c>
      <c r="CJ16" s="31">
        <v>0</v>
      </c>
      <c r="CK16" s="31">
        <v>5.2999999999999999E-2</v>
      </c>
      <c r="CL16" s="31">
        <v>4.4600000000000001E-2</v>
      </c>
      <c r="CM16" s="31">
        <v>0</v>
      </c>
      <c r="CN16" s="31">
        <v>4.9200000000000001E-2</v>
      </c>
      <c r="CO16" s="31">
        <v>4.7899999999999998E-2</v>
      </c>
      <c r="CP16" s="31">
        <v>5.8299999999999998E-2</v>
      </c>
      <c r="CQ16" s="31">
        <v>5.1200000000000002E-2</v>
      </c>
      <c r="CR16" s="31">
        <v>0</v>
      </c>
      <c r="CS16" s="31">
        <v>0</v>
      </c>
      <c r="CT16" s="31">
        <v>5.8099999999999999E-2</v>
      </c>
      <c r="CU16" s="31">
        <v>5.9700000000000003E-2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1">
        <v>6.0600000000000001E-2</v>
      </c>
      <c r="DB16" s="31">
        <v>5.6800000000000003E-2</v>
      </c>
      <c r="DC16" s="31">
        <v>4.9700000000000001E-2</v>
      </c>
      <c r="DD16" s="31">
        <v>5.28E-2</v>
      </c>
      <c r="DE16" s="31">
        <v>0</v>
      </c>
      <c r="DF16" s="31">
        <v>0</v>
      </c>
      <c r="DG16" s="31">
        <v>5.57E-2</v>
      </c>
      <c r="DH16" s="31">
        <v>5.21E-2</v>
      </c>
      <c r="DI16" s="31">
        <v>5.8500000000000003E-2</v>
      </c>
      <c r="DJ16" s="31">
        <v>5.2900000000000003E-2</v>
      </c>
      <c r="DK16" s="31">
        <v>0</v>
      </c>
      <c r="DL16" s="31">
        <v>5.4800000000000001E-2</v>
      </c>
      <c r="DM16" s="31">
        <v>0</v>
      </c>
      <c r="DN16" s="31">
        <v>0</v>
      </c>
      <c r="DO16" s="31">
        <v>0</v>
      </c>
      <c r="DP16" s="31">
        <v>0</v>
      </c>
      <c r="DQ16" s="31">
        <v>6.0699999999999997E-2</v>
      </c>
      <c r="DR16" s="31">
        <v>0</v>
      </c>
      <c r="DS16" s="31">
        <v>6.1199999999999997E-2</v>
      </c>
      <c r="DT16" s="31">
        <v>0</v>
      </c>
      <c r="DU16" s="31">
        <v>0</v>
      </c>
      <c r="DV16" s="31">
        <v>0</v>
      </c>
      <c r="DW16" s="31">
        <v>0</v>
      </c>
      <c r="DX16" s="31">
        <v>0</v>
      </c>
      <c r="DY16" s="31">
        <v>5.8599999999999999E-2</v>
      </c>
      <c r="DZ16" s="31">
        <v>5.3600000000000002E-2</v>
      </c>
      <c r="EA16" s="31">
        <v>5.67E-2</v>
      </c>
      <c r="EB16" s="31">
        <v>5.7799999999999997E-2</v>
      </c>
      <c r="EC16" s="31">
        <v>7.6600000000000001E-2</v>
      </c>
      <c r="ED16" s="31">
        <v>5.4199999999999998E-2</v>
      </c>
      <c r="EE16" s="31">
        <v>0</v>
      </c>
    </row>
    <row r="17" spans="1:135" x14ac:dyDescent="0.3">
      <c r="A17" s="31" t="s">
        <v>171</v>
      </c>
      <c r="B17">
        <v>0</v>
      </c>
      <c r="C17">
        <v>0.62480000000000002</v>
      </c>
      <c r="D17">
        <v>0.58860000000000001</v>
      </c>
      <c r="E17">
        <v>0.54590000000000005</v>
      </c>
      <c r="F17">
        <v>0</v>
      </c>
      <c r="G17" t="s">
        <v>160</v>
      </c>
      <c r="H17">
        <v>0.6502</v>
      </c>
      <c r="I17">
        <v>0.64500000000000002</v>
      </c>
      <c r="J17">
        <v>0.6855</v>
      </c>
      <c r="K17">
        <v>0.68569999999999998</v>
      </c>
      <c r="L17">
        <v>0</v>
      </c>
      <c r="M17">
        <v>0.63619999999999999</v>
      </c>
      <c r="N17">
        <v>0.63400000000000001</v>
      </c>
      <c r="O17">
        <v>0.63419999999999999</v>
      </c>
      <c r="P17">
        <v>0</v>
      </c>
      <c r="Q17">
        <v>0</v>
      </c>
      <c r="R17">
        <v>0.63329999999999997</v>
      </c>
      <c r="S17">
        <v>0</v>
      </c>
      <c r="T17">
        <v>0.61339999999999995</v>
      </c>
      <c r="U17">
        <v>0</v>
      </c>
      <c r="V17">
        <v>0.59819999999999995</v>
      </c>
      <c r="W17">
        <v>0.64759999999999995</v>
      </c>
      <c r="X17">
        <v>0.65249999999999997</v>
      </c>
      <c r="Y17">
        <v>0.65329999999999999</v>
      </c>
      <c r="Z17">
        <v>0.64429999999999998</v>
      </c>
      <c r="AA17">
        <v>0.62260000000000004</v>
      </c>
      <c r="AB17">
        <v>0</v>
      </c>
      <c r="AC17">
        <v>0.66369999999999996</v>
      </c>
      <c r="AD17">
        <v>0</v>
      </c>
      <c r="AE17">
        <v>0.70309999999999995</v>
      </c>
      <c r="AF17">
        <v>0</v>
      </c>
      <c r="AG17">
        <v>0.67710000000000004</v>
      </c>
      <c r="AH17">
        <v>0.64500000000000002</v>
      </c>
      <c r="AI17">
        <v>0.63229999999999997</v>
      </c>
      <c r="AJ17">
        <v>0</v>
      </c>
      <c r="AK17">
        <v>0.64249999999999996</v>
      </c>
      <c r="AL17">
        <v>0.6552</v>
      </c>
      <c r="AM17">
        <v>0.65939999999999999</v>
      </c>
      <c r="AN17">
        <v>0</v>
      </c>
      <c r="AO17">
        <v>0.63880000000000003</v>
      </c>
      <c r="AP17">
        <v>0</v>
      </c>
      <c r="AQ17">
        <v>0.64349999999999996</v>
      </c>
      <c r="AR17">
        <v>0</v>
      </c>
      <c r="AS17">
        <v>0.57669999999999999</v>
      </c>
      <c r="AT17">
        <v>0</v>
      </c>
      <c r="AU17">
        <v>0.66779999999999995</v>
      </c>
      <c r="AV17">
        <v>0.56569999999999998</v>
      </c>
      <c r="AW17">
        <v>0.64580000000000004</v>
      </c>
      <c r="AX17">
        <v>0.62429999999999997</v>
      </c>
      <c r="AY17">
        <v>0.62239999999999995</v>
      </c>
      <c r="AZ17">
        <v>0.60909999999999997</v>
      </c>
      <c r="BA17">
        <v>0.61480000000000001</v>
      </c>
      <c r="BB17">
        <v>0.66820000000000002</v>
      </c>
      <c r="BC17">
        <v>0.66239999999999999</v>
      </c>
      <c r="BD17">
        <v>0.5877</v>
      </c>
      <c r="BE17">
        <v>0.62580000000000002</v>
      </c>
      <c r="BF17">
        <v>0.68910000000000005</v>
      </c>
      <c r="BG17">
        <v>0.64119999999999999</v>
      </c>
      <c r="BH17">
        <v>0.61899999999999999</v>
      </c>
      <c r="BI17">
        <v>0.63339999999999996</v>
      </c>
      <c r="BJ17">
        <v>0.65749999999999997</v>
      </c>
      <c r="BK17">
        <v>0.69120000000000004</v>
      </c>
      <c r="BL17">
        <v>0.65700000000000003</v>
      </c>
      <c r="BM17">
        <v>0</v>
      </c>
      <c r="BN17">
        <v>0</v>
      </c>
      <c r="BO17">
        <v>0.62250000000000005</v>
      </c>
      <c r="BP17">
        <v>0.63260000000000005</v>
      </c>
      <c r="BQ17">
        <v>0</v>
      </c>
      <c r="BR17">
        <v>0</v>
      </c>
      <c r="BS17">
        <v>0.63519999999999999</v>
      </c>
      <c r="BT17">
        <v>0.61529999999999996</v>
      </c>
      <c r="BU17">
        <v>0.55530000000000002</v>
      </c>
      <c r="BV17">
        <v>0.64019999999999999</v>
      </c>
      <c r="BW17">
        <v>0</v>
      </c>
      <c r="BX17" s="31">
        <v>0</v>
      </c>
      <c r="BY17" s="31">
        <v>0</v>
      </c>
      <c r="BZ17" s="31" t="s">
        <v>160</v>
      </c>
      <c r="CA17" s="31">
        <v>0.55510000000000004</v>
      </c>
      <c r="CB17" s="31">
        <v>0.60899999999999999</v>
      </c>
      <c r="CC17" s="31">
        <v>0.60019999999999996</v>
      </c>
      <c r="CD17" s="31">
        <v>0.5978</v>
      </c>
      <c r="CE17" s="31">
        <v>0.63949999999999996</v>
      </c>
      <c r="CF17" s="31">
        <v>0.60880000000000001</v>
      </c>
      <c r="CG17" s="31">
        <v>0.64280000000000004</v>
      </c>
      <c r="CH17" s="31">
        <v>0.65810000000000002</v>
      </c>
      <c r="CI17" s="31">
        <v>0.64070000000000005</v>
      </c>
      <c r="CJ17" s="31">
        <v>0.58609999999999995</v>
      </c>
      <c r="CK17" s="31">
        <v>0.62429999999999997</v>
      </c>
      <c r="CL17" s="31">
        <v>0</v>
      </c>
      <c r="CM17" s="31">
        <v>0.59970000000000001</v>
      </c>
      <c r="CN17" s="31">
        <v>0.64339999999999997</v>
      </c>
      <c r="CO17" s="31">
        <v>0.63619999999999999</v>
      </c>
      <c r="CP17" s="31">
        <v>0.64019999999999999</v>
      </c>
      <c r="CQ17" s="31">
        <v>0</v>
      </c>
      <c r="CR17" s="31">
        <v>0</v>
      </c>
      <c r="CS17" s="31">
        <v>0.63739999999999997</v>
      </c>
      <c r="CT17" s="31">
        <v>0.61199999999999999</v>
      </c>
      <c r="CU17" s="31">
        <v>0.67349999999999999</v>
      </c>
      <c r="CV17" s="31">
        <v>0.59019999999999995</v>
      </c>
      <c r="CW17" s="31">
        <v>0</v>
      </c>
      <c r="CX17" s="31">
        <v>0.60460000000000003</v>
      </c>
      <c r="CY17" s="31">
        <v>0.63180000000000003</v>
      </c>
      <c r="CZ17" s="31">
        <v>0.59789999999999999</v>
      </c>
      <c r="DA17" s="31">
        <v>0.6825</v>
      </c>
      <c r="DB17" s="31">
        <v>0</v>
      </c>
      <c r="DC17" s="31">
        <v>0.6532</v>
      </c>
      <c r="DD17" s="31">
        <v>0.68799999999999994</v>
      </c>
      <c r="DE17" s="31">
        <v>0.64159999999999995</v>
      </c>
      <c r="DF17" s="31">
        <v>0</v>
      </c>
      <c r="DG17" s="31">
        <v>0.62890000000000001</v>
      </c>
      <c r="DH17" s="31">
        <v>0.68710000000000004</v>
      </c>
      <c r="DI17" s="31">
        <v>0.62460000000000004</v>
      </c>
      <c r="DJ17" s="31">
        <v>0</v>
      </c>
      <c r="DK17" s="31">
        <v>0.62170000000000003</v>
      </c>
      <c r="DL17" s="31">
        <v>0.6633</v>
      </c>
      <c r="DM17" s="31">
        <v>0.56169999999999998</v>
      </c>
      <c r="DN17" s="31">
        <v>0.63590000000000002</v>
      </c>
      <c r="DO17" s="31">
        <v>0</v>
      </c>
      <c r="DP17" s="31">
        <v>0</v>
      </c>
      <c r="DQ17" s="31">
        <v>0.61309999999999998</v>
      </c>
      <c r="DR17" s="31">
        <v>0.61099999999999999</v>
      </c>
      <c r="DS17" s="31">
        <v>0.67100000000000004</v>
      </c>
      <c r="DT17" s="31">
        <v>0.67579999999999996</v>
      </c>
      <c r="DU17" s="31">
        <v>0.65249999999999997</v>
      </c>
      <c r="DV17" s="31">
        <v>0.68759999999999999</v>
      </c>
      <c r="DW17" s="31">
        <v>0.64270000000000005</v>
      </c>
      <c r="DX17" s="31">
        <v>0</v>
      </c>
      <c r="DY17" s="31">
        <v>0</v>
      </c>
      <c r="DZ17" s="31">
        <v>0.67410000000000003</v>
      </c>
      <c r="EA17" s="31">
        <v>0.68130000000000002</v>
      </c>
      <c r="EB17" s="31">
        <v>0.68149999999999999</v>
      </c>
      <c r="EC17" s="31">
        <v>0</v>
      </c>
      <c r="ED17" s="31">
        <v>0.67090000000000005</v>
      </c>
      <c r="EE17" s="31">
        <v>0</v>
      </c>
    </row>
    <row r="18" spans="1:135" x14ac:dyDescent="0.3">
      <c r="A18" s="31" t="s">
        <v>172</v>
      </c>
      <c r="B18">
        <v>0.2341</v>
      </c>
      <c r="C18">
        <v>0.1976</v>
      </c>
      <c r="D18">
        <v>0.2205</v>
      </c>
      <c r="E18">
        <v>0.22009999999999999</v>
      </c>
      <c r="F18">
        <v>0.28100000000000003</v>
      </c>
      <c r="G18">
        <v>0.24809999999999999</v>
      </c>
      <c r="H18">
        <v>0.25840000000000002</v>
      </c>
      <c r="I18">
        <v>0.2792</v>
      </c>
      <c r="J18">
        <v>0.23799999999999999</v>
      </c>
      <c r="K18">
        <v>0.27789999999999998</v>
      </c>
      <c r="L18">
        <v>0.29039999999999999</v>
      </c>
      <c r="M18">
        <v>0</v>
      </c>
      <c r="N18">
        <v>0.28249999999999997</v>
      </c>
      <c r="O18">
        <v>0</v>
      </c>
      <c r="P18">
        <v>0.2964</v>
      </c>
      <c r="Q18">
        <v>0.2334</v>
      </c>
      <c r="R18">
        <v>0.2369</v>
      </c>
      <c r="S18">
        <v>0.28689999999999999</v>
      </c>
      <c r="T18">
        <v>0.27239999999999998</v>
      </c>
      <c r="U18">
        <v>0.26069999999999999</v>
      </c>
      <c r="V18">
        <v>0.26450000000000001</v>
      </c>
      <c r="W18">
        <v>0.2671</v>
      </c>
      <c r="X18">
        <v>0.24460000000000001</v>
      </c>
      <c r="Y18">
        <v>0.26090000000000002</v>
      </c>
      <c r="Z18">
        <v>0.2787</v>
      </c>
      <c r="AA18">
        <v>0.24560000000000001</v>
      </c>
      <c r="AB18">
        <v>0.25969999999999999</v>
      </c>
      <c r="AC18">
        <v>0.2606</v>
      </c>
      <c r="AD18">
        <v>0.30399999999999999</v>
      </c>
      <c r="AE18">
        <v>0.25629999999999997</v>
      </c>
      <c r="AF18">
        <v>0.2424</v>
      </c>
      <c r="AG18">
        <v>0.27529999999999999</v>
      </c>
      <c r="AH18">
        <v>0.2414</v>
      </c>
      <c r="AI18">
        <v>0.26369999999999999</v>
      </c>
      <c r="AJ18">
        <v>0.29659999999999997</v>
      </c>
      <c r="AK18">
        <v>0.28999999999999998</v>
      </c>
      <c r="AL18">
        <v>0.27460000000000001</v>
      </c>
      <c r="AM18">
        <v>0.26550000000000001</v>
      </c>
      <c r="AN18">
        <v>0.25900000000000001</v>
      </c>
      <c r="AO18">
        <v>0.28179999999999999</v>
      </c>
      <c r="AP18">
        <v>0.28699999999999998</v>
      </c>
      <c r="AQ18">
        <v>0.26829999999999998</v>
      </c>
      <c r="AR18">
        <v>0.24679999999999999</v>
      </c>
      <c r="AS18">
        <v>0.28610000000000002</v>
      </c>
      <c r="AT18">
        <v>0.25430000000000003</v>
      </c>
      <c r="AU18">
        <v>0.26029999999999998</v>
      </c>
      <c r="AV18">
        <v>0.2429</v>
      </c>
      <c r="AW18">
        <v>0</v>
      </c>
      <c r="AX18">
        <v>0.2762</v>
      </c>
      <c r="AY18">
        <v>0.26590000000000003</v>
      </c>
      <c r="AZ18">
        <v>0.25629999999999997</v>
      </c>
      <c r="BA18">
        <v>0.28539999999999999</v>
      </c>
      <c r="BB18">
        <v>0.23219999999999999</v>
      </c>
      <c r="BC18">
        <v>0</v>
      </c>
      <c r="BD18">
        <v>0.25819999999999999</v>
      </c>
      <c r="BE18">
        <v>0.25319999999999998</v>
      </c>
      <c r="BF18">
        <v>0</v>
      </c>
      <c r="BG18">
        <v>0.25409999999999999</v>
      </c>
      <c r="BH18">
        <v>0.28520000000000001</v>
      </c>
      <c r="BI18">
        <v>0.2339</v>
      </c>
      <c r="BJ18">
        <v>0.2606</v>
      </c>
      <c r="BK18">
        <v>0.2833</v>
      </c>
      <c r="BL18">
        <v>0.25059999999999999</v>
      </c>
      <c r="BM18">
        <v>0.2964</v>
      </c>
      <c r="BN18">
        <v>0.2732</v>
      </c>
      <c r="BO18">
        <v>0.2505</v>
      </c>
      <c r="BP18">
        <v>0.26750000000000002</v>
      </c>
      <c r="BQ18">
        <v>0.27350000000000002</v>
      </c>
      <c r="BR18">
        <v>0.29880000000000001</v>
      </c>
      <c r="BS18">
        <v>0.2676</v>
      </c>
      <c r="BT18">
        <v>0.23569999999999999</v>
      </c>
      <c r="BU18">
        <v>0.20860000000000001</v>
      </c>
      <c r="BV18">
        <v>0.27610000000000001</v>
      </c>
      <c r="BW18">
        <v>0.25800000000000001</v>
      </c>
      <c r="BX18" s="31">
        <v>0</v>
      </c>
      <c r="BY18" s="31">
        <v>0.2752</v>
      </c>
      <c r="BZ18" s="31">
        <v>0.25669999999999998</v>
      </c>
      <c r="CA18" s="31">
        <v>0.21099999999999999</v>
      </c>
      <c r="CB18" s="31">
        <v>0</v>
      </c>
      <c r="CC18" s="31">
        <v>0</v>
      </c>
      <c r="CD18" s="31" t="s">
        <v>160</v>
      </c>
      <c r="CE18" s="31">
        <v>0.25519999999999998</v>
      </c>
      <c r="CF18" s="31">
        <v>0</v>
      </c>
      <c r="CG18" s="31">
        <v>0.25819999999999999</v>
      </c>
      <c r="CH18" s="31">
        <v>0.25480000000000003</v>
      </c>
      <c r="CI18" s="31">
        <v>0.26179999999999998</v>
      </c>
      <c r="CJ18" s="31">
        <v>0.25059999999999999</v>
      </c>
      <c r="CK18" s="31">
        <v>0.2555</v>
      </c>
      <c r="CL18" s="31">
        <v>0.26150000000000001</v>
      </c>
      <c r="CM18" s="31">
        <v>0.25569999999999998</v>
      </c>
      <c r="CN18" s="31">
        <v>0.28489999999999999</v>
      </c>
      <c r="CO18" s="31">
        <v>0.2263</v>
      </c>
      <c r="CP18" s="31">
        <v>0.2555</v>
      </c>
      <c r="CQ18" s="31">
        <v>0.25440000000000002</v>
      </c>
      <c r="CR18" s="31">
        <v>0.22889999999999999</v>
      </c>
      <c r="CS18" s="31">
        <v>0.2427</v>
      </c>
      <c r="CT18" s="31">
        <v>0.3044</v>
      </c>
      <c r="CU18" s="31">
        <v>0.26390000000000002</v>
      </c>
      <c r="CV18" s="31">
        <v>0.2477</v>
      </c>
      <c r="CW18" s="31">
        <v>0.28079999999999999</v>
      </c>
      <c r="CX18" s="31">
        <v>0.2346</v>
      </c>
      <c r="CY18" s="31">
        <v>0.26800000000000002</v>
      </c>
      <c r="CZ18" s="31">
        <v>0.26579999999999998</v>
      </c>
      <c r="DA18" s="31">
        <v>0.2858</v>
      </c>
      <c r="DB18" s="31">
        <v>0.2984</v>
      </c>
      <c r="DC18" s="31">
        <v>0.25180000000000002</v>
      </c>
      <c r="DD18" s="31">
        <v>0.29049999999999998</v>
      </c>
      <c r="DE18" s="31">
        <v>0</v>
      </c>
      <c r="DF18" s="31">
        <v>0.2823</v>
      </c>
      <c r="DG18" s="31">
        <v>0.27350000000000002</v>
      </c>
      <c r="DH18" s="31">
        <v>0.25890000000000002</v>
      </c>
      <c r="DI18" s="31">
        <v>0</v>
      </c>
      <c r="DJ18" s="31">
        <v>0.2429</v>
      </c>
      <c r="DK18" s="31">
        <v>0.23300000000000001</v>
      </c>
      <c r="DL18" s="31">
        <v>0.2412</v>
      </c>
      <c r="DM18" s="31">
        <v>0.25</v>
      </c>
      <c r="DN18" s="31">
        <v>0.27829999999999999</v>
      </c>
      <c r="DO18" s="31">
        <v>0.25180000000000002</v>
      </c>
      <c r="DP18" s="31">
        <v>0.24490000000000001</v>
      </c>
      <c r="DQ18" s="31">
        <v>0.24660000000000001</v>
      </c>
      <c r="DR18" s="31">
        <v>0.2465</v>
      </c>
      <c r="DS18" s="31">
        <v>0.31680000000000003</v>
      </c>
      <c r="DT18" s="31">
        <v>0.30769999999999997</v>
      </c>
      <c r="DU18" s="31">
        <v>0.27089999999999997</v>
      </c>
      <c r="DV18" s="31">
        <v>0.31519999999999998</v>
      </c>
      <c r="DW18" s="31">
        <v>0.31130000000000002</v>
      </c>
      <c r="DX18" s="31">
        <v>0.26019999999999999</v>
      </c>
      <c r="DY18" s="31">
        <v>0.29039999999999999</v>
      </c>
      <c r="DZ18" s="31">
        <v>0.26889999999999997</v>
      </c>
      <c r="EA18" s="31">
        <v>0.28179999999999999</v>
      </c>
      <c r="EB18" s="31">
        <v>0.31190000000000001</v>
      </c>
      <c r="EC18" s="31">
        <v>0.255</v>
      </c>
      <c r="ED18" s="31">
        <v>0.2697</v>
      </c>
      <c r="EE18" s="31">
        <v>0.26079999999999998</v>
      </c>
    </row>
    <row r="19" spans="1:135" x14ac:dyDescent="0.3">
      <c r="A19" s="31" t="s">
        <v>173</v>
      </c>
      <c r="B19">
        <v>0.30620000000000003</v>
      </c>
      <c r="C19">
        <v>0.2039</v>
      </c>
      <c r="D19">
        <v>0.2104</v>
      </c>
      <c r="E19">
        <v>0.22109999999999999</v>
      </c>
      <c r="F19">
        <v>0.26769999999999999</v>
      </c>
      <c r="G19">
        <v>0.26419999999999999</v>
      </c>
      <c r="H19">
        <v>0.26069999999999999</v>
      </c>
      <c r="I19">
        <v>0.26600000000000001</v>
      </c>
      <c r="J19">
        <v>0.28270000000000001</v>
      </c>
      <c r="K19">
        <v>0.23300000000000001</v>
      </c>
      <c r="L19">
        <v>0.2492</v>
      </c>
      <c r="M19">
        <v>0</v>
      </c>
      <c r="N19">
        <v>0.28470000000000001</v>
      </c>
      <c r="O19">
        <v>0.2417</v>
      </c>
      <c r="P19">
        <v>0.2306</v>
      </c>
      <c r="Q19">
        <v>0.28910000000000002</v>
      </c>
      <c r="R19">
        <v>0.29199999999999998</v>
      </c>
      <c r="S19">
        <v>0.26200000000000001</v>
      </c>
      <c r="T19">
        <v>0.27579999999999999</v>
      </c>
      <c r="U19">
        <v>0.27079999999999999</v>
      </c>
      <c r="V19">
        <v>0.30430000000000001</v>
      </c>
      <c r="W19">
        <v>0.26960000000000001</v>
      </c>
      <c r="X19">
        <v>0.25059999999999999</v>
      </c>
      <c r="Y19">
        <v>0.27310000000000001</v>
      </c>
      <c r="Z19">
        <v>0.23810000000000001</v>
      </c>
      <c r="AA19">
        <v>0.2848</v>
      </c>
      <c r="AB19">
        <v>0.26979999999999998</v>
      </c>
      <c r="AC19">
        <v>0.28920000000000001</v>
      </c>
      <c r="AD19">
        <v>0.25330000000000003</v>
      </c>
      <c r="AE19">
        <v>0.23849999999999999</v>
      </c>
      <c r="AF19">
        <v>0.24979999999999999</v>
      </c>
      <c r="AG19">
        <v>0.28970000000000001</v>
      </c>
      <c r="AH19">
        <v>0.2853</v>
      </c>
      <c r="AI19">
        <v>0.2487</v>
      </c>
      <c r="AJ19">
        <v>0.2702</v>
      </c>
      <c r="AK19">
        <v>0.26800000000000002</v>
      </c>
      <c r="AL19">
        <v>0.26869999999999999</v>
      </c>
      <c r="AM19">
        <v>0.29289999999999999</v>
      </c>
      <c r="AN19">
        <v>0.27150000000000002</v>
      </c>
      <c r="AO19">
        <v>0.27610000000000001</v>
      </c>
      <c r="AP19">
        <v>0.2772</v>
      </c>
      <c r="AQ19">
        <v>0.2863</v>
      </c>
      <c r="AR19">
        <v>0.29920000000000002</v>
      </c>
      <c r="AS19">
        <v>0.27010000000000001</v>
      </c>
      <c r="AT19">
        <v>0.2576</v>
      </c>
      <c r="AU19">
        <v>0.27900000000000003</v>
      </c>
      <c r="AV19">
        <v>0</v>
      </c>
      <c r="AW19">
        <v>0</v>
      </c>
      <c r="AX19">
        <v>0.2949</v>
      </c>
      <c r="AY19">
        <v>0.29039999999999999</v>
      </c>
      <c r="AZ19">
        <v>0.2626</v>
      </c>
      <c r="BA19">
        <v>0.23669999999999999</v>
      </c>
      <c r="BB19">
        <v>0.24859999999999999</v>
      </c>
      <c r="BC19">
        <v>0.1981</v>
      </c>
      <c r="BD19">
        <v>0</v>
      </c>
      <c r="BE19">
        <v>0</v>
      </c>
      <c r="BF19">
        <v>0</v>
      </c>
      <c r="BG19">
        <v>0.26240000000000002</v>
      </c>
      <c r="BH19">
        <v>0.27100000000000002</v>
      </c>
      <c r="BI19">
        <v>0.30919999999999997</v>
      </c>
      <c r="BJ19">
        <v>0.30790000000000001</v>
      </c>
      <c r="BK19">
        <v>0.30730000000000002</v>
      </c>
      <c r="BL19">
        <v>0.28839999999999999</v>
      </c>
      <c r="BM19">
        <v>0.25340000000000001</v>
      </c>
      <c r="BN19">
        <v>0.26879999999999998</v>
      </c>
      <c r="BO19">
        <v>0.32150000000000001</v>
      </c>
      <c r="BP19">
        <v>0.28129999999999999</v>
      </c>
      <c r="BQ19">
        <v>0.29170000000000001</v>
      </c>
      <c r="BR19">
        <v>0.2437</v>
      </c>
      <c r="BS19">
        <v>0.28670000000000001</v>
      </c>
      <c r="BT19">
        <v>0.25530000000000003</v>
      </c>
      <c r="BU19">
        <v>0.2218</v>
      </c>
      <c r="BV19">
        <v>0.30109999999999998</v>
      </c>
      <c r="BW19">
        <v>0.29020000000000001</v>
      </c>
      <c r="BX19" s="31">
        <v>0.2384</v>
      </c>
      <c r="BY19" s="31">
        <v>0.2432</v>
      </c>
      <c r="BZ19" s="31">
        <v>0.25900000000000001</v>
      </c>
      <c r="CA19" s="31">
        <v>0</v>
      </c>
      <c r="CB19" s="31">
        <v>0.23730000000000001</v>
      </c>
      <c r="CC19" s="31">
        <v>0.2351</v>
      </c>
      <c r="CD19" s="31">
        <v>0.1986</v>
      </c>
      <c r="CE19" s="31">
        <v>0.23760000000000001</v>
      </c>
      <c r="CF19" s="31">
        <v>0</v>
      </c>
      <c r="CG19" s="31">
        <v>0.25280000000000002</v>
      </c>
      <c r="CH19" s="31">
        <v>0.24199999999999999</v>
      </c>
      <c r="CI19" s="31">
        <v>0.24360000000000001</v>
      </c>
      <c r="CJ19" s="31">
        <v>0</v>
      </c>
      <c r="CK19" s="31">
        <v>0.2666</v>
      </c>
      <c r="CL19" s="31">
        <v>0.26790000000000003</v>
      </c>
      <c r="CM19" s="31">
        <v>0.25069999999999998</v>
      </c>
      <c r="CN19" s="31">
        <v>0.27789999999999998</v>
      </c>
      <c r="CO19" s="31">
        <v>0.2319</v>
      </c>
      <c r="CP19" s="31">
        <v>0.26119999999999999</v>
      </c>
      <c r="CQ19" s="31">
        <v>0.25330000000000003</v>
      </c>
      <c r="CR19" s="31">
        <v>0.24540000000000001</v>
      </c>
      <c r="CS19" s="31">
        <v>0.22950000000000001</v>
      </c>
      <c r="CT19" s="31">
        <v>0.27550000000000002</v>
      </c>
      <c r="CU19" s="31">
        <v>0.2606</v>
      </c>
      <c r="CV19" s="31">
        <v>0.26879999999999998</v>
      </c>
      <c r="CW19" s="31">
        <v>0.30199999999999999</v>
      </c>
      <c r="CX19" s="31">
        <v>0.22819999999999999</v>
      </c>
      <c r="CY19" s="31">
        <v>0.26500000000000001</v>
      </c>
      <c r="CZ19" s="31">
        <v>0.28110000000000002</v>
      </c>
      <c r="DA19" s="31">
        <v>0.2571</v>
      </c>
      <c r="DB19" s="31">
        <v>0.27579999999999999</v>
      </c>
      <c r="DC19" s="31">
        <v>0.222</v>
      </c>
      <c r="DD19" s="31">
        <v>0.2316</v>
      </c>
      <c r="DE19" s="31">
        <v>0</v>
      </c>
      <c r="DF19" s="31">
        <v>0.26719999999999999</v>
      </c>
      <c r="DG19" s="31">
        <v>0.22850000000000001</v>
      </c>
      <c r="DH19" s="31">
        <v>0.219</v>
      </c>
      <c r="DI19" s="31">
        <v>0</v>
      </c>
      <c r="DJ19" s="31">
        <v>0.24179999999999999</v>
      </c>
      <c r="DK19" s="31">
        <v>0.22570000000000001</v>
      </c>
      <c r="DL19" s="31">
        <v>0.27979999999999999</v>
      </c>
      <c r="DM19" s="31">
        <v>0.22420000000000001</v>
      </c>
      <c r="DN19" s="31">
        <v>0.29409999999999997</v>
      </c>
      <c r="DO19" s="31">
        <v>0.29859999999999998</v>
      </c>
      <c r="DP19" s="31">
        <v>0.21440000000000001</v>
      </c>
      <c r="DQ19" s="31">
        <v>0.30959999999999999</v>
      </c>
      <c r="DR19" s="31">
        <v>0.22720000000000001</v>
      </c>
      <c r="DS19" s="31">
        <v>0.28189999999999998</v>
      </c>
      <c r="DT19" s="31">
        <v>0.27700000000000002</v>
      </c>
      <c r="DU19" s="31">
        <v>0.31430000000000002</v>
      </c>
      <c r="DV19" s="31">
        <v>0.30159999999999998</v>
      </c>
      <c r="DW19" s="31">
        <v>0.27679999999999999</v>
      </c>
      <c r="DX19" s="31">
        <v>0.27250000000000002</v>
      </c>
      <c r="DY19" s="31">
        <v>0.27479999999999999</v>
      </c>
      <c r="DZ19" s="31">
        <v>0.29770000000000002</v>
      </c>
      <c r="EA19" s="31">
        <v>0.24429999999999999</v>
      </c>
      <c r="EB19" s="31">
        <v>0.254</v>
      </c>
      <c r="EC19" s="31">
        <v>0.23680000000000001</v>
      </c>
      <c r="ED19" s="31">
        <v>0.27710000000000001</v>
      </c>
      <c r="EE19" s="31">
        <v>0.29239999999999999</v>
      </c>
    </row>
    <row r="20" spans="1:135" x14ac:dyDescent="0.3">
      <c r="A20" s="31" t="s">
        <v>174</v>
      </c>
      <c r="B20">
        <v>0.23069999999999999</v>
      </c>
      <c r="C20">
        <v>0.20780000000000001</v>
      </c>
      <c r="D20">
        <v>0</v>
      </c>
      <c r="E20">
        <v>0.2044</v>
      </c>
      <c r="F20">
        <v>0.26169999999999999</v>
      </c>
      <c r="G20">
        <v>0.24129999999999999</v>
      </c>
      <c r="H20">
        <v>0.24890000000000001</v>
      </c>
      <c r="I20">
        <v>0.25059999999999999</v>
      </c>
      <c r="J20">
        <v>0.2442</v>
      </c>
      <c r="K20">
        <v>0.24759999999999999</v>
      </c>
      <c r="L20">
        <v>0.2422</v>
      </c>
      <c r="M20">
        <v>0.24079999999999999</v>
      </c>
      <c r="N20">
        <v>0</v>
      </c>
      <c r="O20">
        <v>0</v>
      </c>
      <c r="P20">
        <v>0.24679999999999999</v>
      </c>
      <c r="Q20">
        <v>0</v>
      </c>
      <c r="R20">
        <v>0.2248</v>
      </c>
      <c r="S20">
        <v>0.24859999999999999</v>
      </c>
      <c r="T20">
        <v>0.24660000000000001</v>
      </c>
      <c r="U20">
        <v>0.24410000000000001</v>
      </c>
      <c r="V20">
        <v>0.25600000000000001</v>
      </c>
      <c r="W20">
        <v>0.24790000000000001</v>
      </c>
      <c r="X20">
        <v>0.24349999999999999</v>
      </c>
      <c r="Y20">
        <v>0.24540000000000001</v>
      </c>
      <c r="Z20">
        <v>0.25259999999999999</v>
      </c>
      <c r="AA20">
        <v>0.2412</v>
      </c>
      <c r="AB20">
        <v>0.23760000000000001</v>
      </c>
      <c r="AC20">
        <v>0.25669999999999998</v>
      </c>
      <c r="AD20">
        <v>0.2409</v>
      </c>
      <c r="AE20">
        <v>0.25669999999999998</v>
      </c>
      <c r="AF20">
        <v>0.25690000000000002</v>
      </c>
      <c r="AG20">
        <v>0.25180000000000002</v>
      </c>
      <c r="AH20">
        <v>0.24490000000000001</v>
      </c>
      <c r="AI20">
        <v>0.24440000000000001</v>
      </c>
      <c r="AJ20">
        <v>0.25059999999999999</v>
      </c>
      <c r="AK20">
        <v>0.25940000000000002</v>
      </c>
      <c r="AL20">
        <v>0.24709999999999999</v>
      </c>
      <c r="AM20">
        <v>0.255</v>
      </c>
      <c r="AN20">
        <v>0.24759999999999999</v>
      </c>
      <c r="AO20">
        <v>0.24970000000000001</v>
      </c>
      <c r="AP20">
        <v>0.26290000000000002</v>
      </c>
      <c r="AQ20">
        <v>0.24410000000000001</v>
      </c>
      <c r="AR20">
        <v>0.25359999999999999</v>
      </c>
      <c r="AS20">
        <v>0.24909999999999999</v>
      </c>
      <c r="AT20">
        <v>0.26290000000000002</v>
      </c>
      <c r="AU20">
        <v>0.24379999999999999</v>
      </c>
      <c r="AV20">
        <v>0</v>
      </c>
      <c r="AW20">
        <v>0</v>
      </c>
      <c r="AX20">
        <v>0.24490000000000001</v>
      </c>
      <c r="AY20">
        <v>0.26169999999999999</v>
      </c>
      <c r="AZ20">
        <v>0.23380000000000001</v>
      </c>
      <c r="BA20">
        <v>0.245</v>
      </c>
      <c r="BB20">
        <v>0</v>
      </c>
      <c r="BC20">
        <v>0</v>
      </c>
      <c r="BD20">
        <v>0.21990000000000001</v>
      </c>
      <c r="BE20">
        <v>0.2273</v>
      </c>
      <c r="BF20">
        <v>0</v>
      </c>
      <c r="BG20">
        <v>0.25230000000000002</v>
      </c>
      <c r="BH20">
        <v>0.2404</v>
      </c>
      <c r="BI20">
        <v>0.252</v>
      </c>
      <c r="BJ20">
        <v>0.25430000000000003</v>
      </c>
      <c r="BK20">
        <v>0.25330000000000003</v>
      </c>
      <c r="BL20">
        <v>0.25609999999999999</v>
      </c>
      <c r="BM20">
        <v>0.2611</v>
      </c>
      <c r="BN20">
        <v>0.2346</v>
      </c>
      <c r="BO20">
        <v>0.24779999999999999</v>
      </c>
      <c r="BP20">
        <v>0.24540000000000001</v>
      </c>
      <c r="BQ20">
        <v>0.25929999999999997</v>
      </c>
      <c r="BR20">
        <v>0.23499999999999999</v>
      </c>
      <c r="BS20">
        <v>0.24360000000000001</v>
      </c>
      <c r="BT20">
        <v>0.224</v>
      </c>
      <c r="BU20">
        <v>0.22040000000000001</v>
      </c>
      <c r="BV20">
        <v>0.25530000000000003</v>
      </c>
      <c r="BW20">
        <v>0.26100000000000001</v>
      </c>
      <c r="BX20" s="31">
        <v>0.23480000000000001</v>
      </c>
      <c r="BY20" s="31">
        <v>0.2419</v>
      </c>
      <c r="BZ20" s="31">
        <v>0</v>
      </c>
      <c r="CA20" s="31">
        <v>0.1946</v>
      </c>
      <c r="CB20" s="31">
        <v>0.2014</v>
      </c>
      <c r="CC20" s="31">
        <v>0.21190000000000001</v>
      </c>
      <c r="CD20" s="31">
        <v>0</v>
      </c>
      <c r="CE20" s="31">
        <v>0.24840000000000001</v>
      </c>
      <c r="CF20" s="31">
        <v>0</v>
      </c>
      <c r="CG20" s="31">
        <v>0</v>
      </c>
      <c r="CH20" s="31">
        <v>0</v>
      </c>
      <c r="CI20" s="31">
        <v>0.24629999999999999</v>
      </c>
      <c r="CJ20" s="31">
        <v>0</v>
      </c>
      <c r="CK20" s="31">
        <v>0.23769999999999999</v>
      </c>
      <c r="CL20" s="31">
        <v>0.23680000000000001</v>
      </c>
      <c r="CM20" s="31">
        <v>0.21199999999999999</v>
      </c>
      <c r="CN20" s="31">
        <v>0.23960000000000001</v>
      </c>
      <c r="CO20" s="31">
        <v>0.2248</v>
      </c>
      <c r="CP20" s="31">
        <v>0.2651</v>
      </c>
      <c r="CQ20" s="31">
        <v>0.247</v>
      </c>
      <c r="CR20" s="31">
        <v>0.21110000000000001</v>
      </c>
      <c r="CS20" s="31">
        <v>0.2298</v>
      </c>
      <c r="CT20" s="31">
        <v>0.23880000000000001</v>
      </c>
      <c r="CU20" s="31">
        <v>0.22889999999999999</v>
      </c>
      <c r="CV20" s="31">
        <v>0.26250000000000001</v>
      </c>
      <c r="CW20" s="31">
        <v>0.25019999999999998</v>
      </c>
      <c r="CX20" s="31">
        <v>0.21840000000000001</v>
      </c>
      <c r="CY20" s="31">
        <v>0.2571</v>
      </c>
      <c r="CZ20" s="31">
        <v>0.25519999999999998</v>
      </c>
      <c r="DA20" s="31">
        <v>0.26790000000000003</v>
      </c>
      <c r="DB20" s="31">
        <v>0.2349</v>
      </c>
      <c r="DC20" s="31">
        <v>0.24460000000000001</v>
      </c>
      <c r="DD20" s="31">
        <v>0.2455</v>
      </c>
      <c r="DE20" s="31">
        <v>0</v>
      </c>
      <c r="DF20" s="31">
        <v>0.221</v>
      </c>
      <c r="DG20" s="31">
        <v>0.2404</v>
      </c>
      <c r="DH20" s="31">
        <v>0.23719999999999999</v>
      </c>
      <c r="DI20" s="31">
        <v>0</v>
      </c>
      <c r="DJ20" s="31">
        <v>0.23330000000000001</v>
      </c>
      <c r="DK20" s="31">
        <v>0</v>
      </c>
      <c r="DL20" s="31">
        <v>0.26229999999999998</v>
      </c>
      <c r="DM20" s="31">
        <v>0.20200000000000001</v>
      </c>
      <c r="DN20" s="31">
        <v>0.2621</v>
      </c>
      <c r="DO20" s="31">
        <v>0.25679999999999997</v>
      </c>
      <c r="DP20" s="31">
        <v>0.21279999999999999</v>
      </c>
      <c r="DQ20" s="31">
        <v>0.2472</v>
      </c>
      <c r="DR20" s="31">
        <v>0.22339999999999999</v>
      </c>
      <c r="DS20" s="31">
        <v>0.2455</v>
      </c>
      <c r="DT20" s="31">
        <v>0.25280000000000002</v>
      </c>
      <c r="DU20" s="31">
        <v>0.26379999999999998</v>
      </c>
      <c r="DV20" s="31">
        <v>0.24959999999999999</v>
      </c>
      <c r="DW20" s="31">
        <v>0.26850000000000002</v>
      </c>
      <c r="DX20" s="31">
        <v>0.24329999999999999</v>
      </c>
      <c r="DY20" s="31">
        <v>0.23860000000000001</v>
      </c>
      <c r="DZ20" s="31">
        <v>0.2447</v>
      </c>
      <c r="EA20" s="31">
        <v>0.25940000000000002</v>
      </c>
      <c r="EB20" s="31">
        <v>0.24829999999999999</v>
      </c>
      <c r="EC20" s="31">
        <v>0.24790000000000001</v>
      </c>
      <c r="ED20" s="31">
        <v>0.24879999999999999</v>
      </c>
      <c r="EE20" s="31">
        <v>0.26</v>
      </c>
    </row>
    <row r="21" spans="1:135" x14ac:dyDescent="0.3">
      <c r="A21" s="31" t="s">
        <v>175</v>
      </c>
      <c r="B21">
        <v>0.14399999999999999</v>
      </c>
      <c r="C21">
        <v>0.1341</v>
      </c>
      <c r="D21">
        <v>0.12690000000000001</v>
      </c>
      <c r="E21">
        <v>0.12740000000000001</v>
      </c>
      <c r="F21">
        <v>0.15340000000000001</v>
      </c>
      <c r="G21">
        <v>0.15959999999999999</v>
      </c>
      <c r="H21">
        <v>0.1555</v>
      </c>
      <c r="I21">
        <v>0.15340000000000001</v>
      </c>
      <c r="J21">
        <v>0.1615</v>
      </c>
      <c r="K21">
        <v>0.16</v>
      </c>
      <c r="L21">
        <v>0.15909999999999999</v>
      </c>
      <c r="M21">
        <v>0</v>
      </c>
      <c r="N21">
        <v>0</v>
      </c>
      <c r="O21">
        <v>0</v>
      </c>
      <c r="P21">
        <v>0.1648</v>
      </c>
      <c r="Q21">
        <v>0</v>
      </c>
      <c r="R21">
        <v>0.16200000000000001</v>
      </c>
      <c r="S21">
        <v>0.17249999999999999</v>
      </c>
      <c r="T21">
        <v>0.17119999999999999</v>
      </c>
      <c r="U21">
        <v>0.17219999999999999</v>
      </c>
      <c r="V21">
        <v>0.16500000000000001</v>
      </c>
      <c r="W21">
        <v>0.17030000000000001</v>
      </c>
      <c r="X21">
        <v>0.16619999999999999</v>
      </c>
      <c r="Y21">
        <v>0.1527</v>
      </c>
      <c r="Z21">
        <v>0.17899999999999999</v>
      </c>
      <c r="AA21">
        <v>0.16109999999999999</v>
      </c>
      <c r="AB21">
        <v>0.161</v>
      </c>
      <c r="AC21">
        <v>0.16350000000000001</v>
      </c>
      <c r="AD21">
        <v>0.1661</v>
      </c>
      <c r="AE21">
        <v>0.16689999999999999</v>
      </c>
      <c r="AF21">
        <v>0.17019999999999999</v>
      </c>
      <c r="AG21">
        <v>0.1605</v>
      </c>
      <c r="AH21">
        <v>0.17050000000000001</v>
      </c>
      <c r="AI21">
        <v>0.16109999999999999</v>
      </c>
      <c r="AJ21">
        <v>0.1671</v>
      </c>
      <c r="AK21">
        <v>0.1646</v>
      </c>
      <c r="AL21">
        <v>0.16309999999999999</v>
      </c>
      <c r="AM21">
        <v>0.1777</v>
      </c>
      <c r="AN21">
        <v>0.17699999999999999</v>
      </c>
      <c r="AO21">
        <v>0.1719</v>
      </c>
      <c r="AP21">
        <v>0.1716</v>
      </c>
      <c r="AQ21">
        <v>0.17780000000000001</v>
      </c>
      <c r="AR21">
        <v>0.16120000000000001</v>
      </c>
      <c r="AS21">
        <v>0.1643</v>
      </c>
      <c r="AT21">
        <v>0.1822</v>
      </c>
      <c r="AU21">
        <v>0.17449999999999999</v>
      </c>
      <c r="AV21">
        <v>0</v>
      </c>
      <c r="AW21">
        <v>0.14149999999999999</v>
      </c>
      <c r="AX21">
        <v>0.17130000000000001</v>
      </c>
      <c r="AY21">
        <v>0.17519999999999999</v>
      </c>
      <c r="AZ21">
        <v>0.1673</v>
      </c>
      <c r="BA21">
        <v>0.16889999999999999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0.16969999999999999</v>
      </c>
      <c r="BH21">
        <v>0.1749</v>
      </c>
      <c r="BI21">
        <v>0.15890000000000001</v>
      </c>
      <c r="BJ21">
        <v>0.1512</v>
      </c>
      <c r="BK21">
        <v>0.1613</v>
      </c>
      <c r="BL21">
        <v>0.16600000000000001</v>
      </c>
      <c r="BM21">
        <v>0.18790000000000001</v>
      </c>
      <c r="BN21">
        <v>0.15429999999999999</v>
      </c>
      <c r="BO21">
        <v>0.16470000000000001</v>
      </c>
      <c r="BP21">
        <v>0.1779</v>
      </c>
      <c r="BQ21">
        <v>0.1709</v>
      </c>
      <c r="BR21">
        <v>0.18390000000000001</v>
      </c>
      <c r="BS21">
        <v>0.16170000000000001</v>
      </c>
      <c r="BT21">
        <v>0.14130000000000001</v>
      </c>
      <c r="BU21">
        <v>0.13159999999999999</v>
      </c>
      <c r="BV21">
        <v>0.16539999999999999</v>
      </c>
      <c r="BW21">
        <v>0.1736</v>
      </c>
      <c r="BX21" s="31">
        <v>0.1552</v>
      </c>
      <c r="BY21" s="31">
        <v>0.15659999999999999</v>
      </c>
      <c r="BZ21" s="31">
        <v>0.1583</v>
      </c>
      <c r="CA21" s="31">
        <v>0</v>
      </c>
      <c r="CB21" s="31">
        <v>0.1258</v>
      </c>
      <c r="CC21" s="31">
        <v>0</v>
      </c>
      <c r="CD21" s="31">
        <v>0</v>
      </c>
      <c r="CE21" s="31">
        <v>0.15890000000000001</v>
      </c>
      <c r="CF21" s="31">
        <v>0.15229999999999999</v>
      </c>
      <c r="CG21" s="31">
        <v>0.1555</v>
      </c>
      <c r="CH21" s="31">
        <v>0.15040000000000001</v>
      </c>
      <c r="CI21" s="31">
        <v>0.157</v>
      </c>
      <c r="CJ21" s="31">
        <v>0.13750000000000001</v>
      </c>
      <c r="CK21" s="31">
        <v>0.1532</v>
      </c>
      <c r="CL21" s="31">
        <v>0.1429</v>
      </c>
      <c r="CM21" s="31">
        <v>0.1467</v>
      </c>
      <c r="CN21" s="31">
        <v>0.15579999999999999</v>
      </c>
      <c r="CO21" s="31">
        <v>0.1527</v>
      </c>
      <c r="CP21" s="31">
        <v>0.19359999999999999</v>
      </c>
      <c r="CQ21" s="31">
        <v>0.17100000000000001</v>
      </c>
      <c r="CR21" s="31">
        <v>0.14779999999999999</v>
      </c>
      <c r="CS21" s="31">
        <v>0.1328</v>
      </c>
      <c r="CT21" s="31">
        <v>0.16930000000000001</v>
      </c>
      <c r="CU21" s="31">
        <v>0.1641</v>
      </c>
      <c r="CV21" s="31">
        <v>0.17380000000000001</v>
      </c>
      <c r="CW21" s="31">
        <v>0.17899999999999999</v>
      </c>
      <c r="CX21" s="31">
        <v>0.1371</v>
      </c>
      <c r="CY21" s="31">
        <v>0.17530000000000001</v>
      </c>
      <c r="CZ21" s="31">
        <v>0.17219999999999999</v>
      </c>
      <c r="DA21" s="31">
        <v>0.17710000000000001</v>
      </c>
      <c r="DB21" s="31">
        <v>0.17710000000000001</v>
      </c>
      <c r="DC21" s="31">
        <v>0.15229999999999999</v>
      </c>
      <c r="DD21" s="31">
        <v>0.14990000000000001</v>
      </c>
      <c r="DE21" s="31">
        <v>0</v>
      </c>
      <c r="DF21" s="31">
        <v>0.1555</v>
      </c>
      <c r="DG21" s="31">
        <v>0.16259999999999999</v>
      </c>
      <c r="DH21" s="31">
        <v>0.1542</v>
      </c>
      <c r="DI21" s="31">
        <v>0</v>
      </c>
      <c r="DJ21" s="31">
        <v>0.1497</v>
      </c>
      <c r="DK21" s="31">
        <v>0.125</v>
      </c>
      <c r="DL21" s="31">
        <v>0.1767</v>
      </c>
      <c r="DM21" s="31">
        <v>0</v>
      </c>
      <c r="DN21" s="31">
        <v>0.1799</v>
      </c>
      <c r="DO21" s="31">
        <v>0.17599999999999999</v>
      </c>
      <c r="DP21" s="31">
        <v>0.14380000000000001</v>
      </c>
      <c r="DQ21" s="31">
        <v>0.16109999999999999</v>
      </c>
      <c r="DR21" s="31">
        <v>0.1411</v>
      </c>
      <c r="DS21" s="31">
        <v>0.1673</v>
      </c>
      <c r="DT21" s="31">
        <v>0.17219999999999999</v>
      </c>
      <c r="DU21" s="31">
        <v>0.1774</v>
      </c>
      <c r="DV21" s="31">
        <v>0.16880000000000001</v>
      </c>
      <c r="DW21" s="31">
        <v>0.17780000000000001</v>
      </c>
      <c r="DX21" s="31">
        <v>0.17480000000000001</v>
      </c>
      <c r="DY21" s="31">
        <v>0.17419999999999999</v>
      </c>
      <c r="DZ21" s="31">
        <v>0.17599999999999999</v>
      </c>
      <c r="EA21" s="31">
        <v>0.16850000000000001</v>
      </c>
      <c r="EB21" s="31">
        <v>0.17230000000000001</v>
      </c>
      <c r="EC21" s="31">
        <v>0.1545</v>
      </c>
      <c r="ED21" s="31">
        <v>0.17180000000000001</v>
      </c>
      <c r="EE21" s="31">
        <v>0.17419999999999999</v>
      </c>
    </row>
    <row r="22" spans="1:135" x14ac:dyDescent="0.3">
      <c r="A22" s="31" t="s">
        <v>176</v>
      </c>
      <c r="B22">
        <v>0.14949999999999999</v>
      </c>
      <c r="C22">
        <v>0.13800000000000001</v>
      </c>
      <c r="D22">
        <v>0.14000000000000001</v>
      </c>
      <c r="E22">
        <v>0.14169999999999999</v>
      </c>
      <c r="F22">
        <v>0.1762</v>
      </c>
      <c r="G22">
        <v>0.16930000000000001</v>
      </c>
      <c r="H22">
        <v>0.17430000000000001</v>
      </c>
      <c r="I22">
        <v>0.17</v>
      </c>
      <c r="J22">
        <v>0.1643</v>
      </c>
      <c r="K22">
        <v>0.17169999999999999</v>
      </c>
      <c r="L22">
        <v>0.16389999999999999</v>
      </c>
      <c r="M22">
        <v>0.1663</v>
      </c>
      <c r="N22">
        <v>0</v>
      </c>
      <c r="O22">
        <v>0.16569999999999999</v>
      </c>
      <c r="P22">
        <v>0.17169999999999999</v>
      </c>
      <c r="Q22">
        <v>0.17</v>
      </c>
      <c r="R22">
        <v>0.17799999999999999</v>
      </c>
      <c r="S22">
        <v>0.1736</v>
      </c>
      <c r="T22">
        <v>0.1787</v>
      </c>
      <c r="U22">
        <v>0.17319999999999999</v>
      </c>
      <c r="V22">
        <v>0.1668</v>
      </c>
      <c r="W22">
        <v>0.1736</v>
      </c>
      <c r="X22">
        <v>0.1716</v>
      </c>
      <c r="Y22">
        <v>0.1779</v>
      </c>
      <c r="Z22">
        <v>0.17069999999999999</v>
      </c>
      <c r="AA22">
        <v>0.17829999999999999</v>
      </c>
      <c r="AB22">
        <v>0.17</v>
      </c>
      <c r="AC22">
        <v>0.1726</v>
      </c>
      <c r="AD22">
        <v>0.1767</v>
      </c>
      <c r="AE22">
        <v>0.1731</v>
      </c>
      <c r="AF22">
        <v>0.17050000000000001</v>
      </c>
      <c r="AG22">
        <v>0.16850000000000001</v>
      </c>
      <c r="AH22">
        <v>0.17460000000000001</v>
      </c>
      <c r="AI22">
        <v>0.16669999999999999</v>
      </c>
      <c r="AJ22">
        <v>0.17330000000000001</v>
      </c>
      <c r="AK22">
        <v>0.17810000000000001</v>
      </c>
      <c r="AL22">
        <v>0.17169999999999999</v>
      </c>
      <c r="AM22">
        <v>0.18410000000000001</v>
      </c>
      <c r="AN22">
        <v>0.17699999999999999</v>
      </c>
      <c r="AO22">
        <v>0.17280000000000001</v>
      </c>
      <c r="AP22">
        <v>0.17649999999999999</v>
      </c>
      <c r="AQ22">
        <v>0.1719</v>
      </c>
      <c r="AR22">
        <v>0.17100000000000001</v>
      </c>
      <c r="AS22">
        <v>0.17150000000000001</v>
      </c>
      <c r="AT22">
        <v>0.1779</v>
      </c>
      <c r="AU22">
        <v>0.17380000000000001</v>
      </c>
      <c r="AV22">
        <v>0.15529999999999999</v>
      </c>
      <c r="AW22">
        <v>0.1547</v>
      </c>
      <c r="AX22">
        <v>0.1721</v>
      </c>
      <c r="AY22">
        <v>0.18010000000000001</v>
      </c>
      <c r="AZ22">
        <v>0.16209999999999999</v>
      </c>
      <c r="BA22">
        <v>0.17</v>
      </c>
      <c r="BB22">
        <v>0</v>
      </c>
      <c r="BC22">
        <v>0.1552</v>
      </c>
      <c r="BD22">
        <v>0.15529999999999999</v>
      </c>
      <c r="BE22">
        <v>0</v>
      </c>
      <c r="BF22">
        <v>0.15040000000000001</v>
      </c>
      <c r="BG22">
        <v>0.16800000000000001</v>
      </c>
      <c r="BH22">
        <v>0.17169999999999999</v>
      </c>
      <c r="BI22">
        <v>0.17649999999999999</v>
      </c>
      <c r="BJ22">
        <v>0.17449999999999999</v>
      </c>
      <c r="BK22">
        <v>0.17130000000000001</v>
      </c>
      <c r="BL22">
        <v>0.18279999999999999</v>
      </c>
      <c r="BM22">
        <v>0.18149999999999999</v>
      </c>
      <c r="BN22">
        <v>0.16919999999999999</v>
      </c>
      <c r="BO22">
        <v>0.1774</v>
      </c>
      <c r="BP22">
        <v>0.1676</v>
      </c>
      <c r="BQ22">
        <v>0.1797</v>
      </c>
      <c r="BR22">
        <v>0.1734</v>
      </c>
      <c r="BS22">
        <v>0.17730000000000001</v>
      </c>
      <c r="BT22">
        <v>0.158</v>
      </c>
      <c r="BU22">
        <v>0.15029999999999999</v>
      </c>
      <c r="BV22">
        <v>0.17829999999999999</v>
      </c>
      <c r="BW22">
        <v>0.1754</v>
      </c>
      <c r="BX22" s="31">
        <v>0.16239999999999999</v>
      </c>
      <c r="BY22" s="31">
        <v>0</v>
      </c>
      <c r="BZ22" s="31">
        <v>0</v>
      </c>
      <c r="CA22" s="31">
        <v>0.13519999999999999</v>
      </c>
      <c r="CB22" s="31">
        <v>0.1429</v>
      </c>
      <c r="CC22" s="31">
        <v>0.14729999999999999</v>
      </c>
      <c r="CD22" s="31">
        <v>0.1399</v>
      </c>
      <c r="CE22" s="31">
        <v>0</v>
      </c>
      <c r="CF22" s="31">
        <v>0.15479999999999999</v>
      </c>
      <c r="CG22" s="31">
        <v>0.16089999999999999</v>
      </c>
      <c r="CH22" s="31">
        <v>0.16950000000000001</v>
      </c>
      <c r="CI22" s="31">
        <v>0.16539999999999999</v>
      </c>
      <c r="CJ22" s="31">
        <v>0</v>
      </c>
      <c r="CK22" s="31">
        <v>0.16209999999999999</v>
      </c>
      <c r="CL22" s="31">
        <v>0.1575</v>
      </c>
      <c r="CM22" s="31">
        <v>0.1469</v>
      </c>
      <c r="CN22" s="31">
        <v>0.16309999999999999</v>
      </c>
      <c r="CO22" s="31">
        <v>0.16309999999999999</v>
      </c>
      <c r="CP22" s="31">
        <v>0.17680000000000001</v>
      </c>
      <c r="CQ22" s="31">
        <v>0.1822</v>
      </c>
      <c r="CR22" s="31">
        <v>0.14580000000000001</v>
      </c>
      <c r="CS22" s="31">
        <v>0.15140000000000001</v>
      </c>
      <c r="CT22" s="31">
        <v>0.17599999999999999</v>
      </c>
      <c r="CU22" s="31">
        <v>0.16769999999999999</v>
      </c>
      <c r="CV22" s="31">
        <v>0.17399999999999999</v>
      </c>
      <c r="CW22" s="31">
        <v>0.16980000000000001</v>
      </c>
      <c r="CX22" s="31">
        <v>0.1479</v>
      </c>
      <c r="CY22" s="31">
        <v>0.1855</v>
      </c>
      <c r="CZ22" s="31">
        <v>0.1769</v>
      </c>
      <c r="DA22" s="31">
        <v>0.17349999999999999</v>
      </c>
      <c r="DB22" s="31">
        <v>0.1726</v>
      </c>
      <c r="DC22" s="31">
        <v>0.16009999999999999</v>
      </c>
      <c r="DD22" s="31">
        <v>0.16259999999999999</v>
      </c>
      <c r="DE22" s="31">
        <v>0.14860000000000001</v>
      </c>
      <c r="DF22" s="31">
        <v>0.15359999999999999</v>
      </c>
      <c r="DG22" s="31">
        <v>0.1653</v>
      </c>
      <c r="DH22" s="31">
        <v>0.16950000000000001</v>
      </c>
      <c r="DI22" s="31">
        <v>0.14080000000000001</v>
      </c>
      <c r="DJ22" s="31">
        <v>0.16339999999999999</v>
      </c>
      <c r="DK22" s="31">
        <v>0.13819999999999999</v>
      </c>
      <c r="DL22" s="31">
        <v>0.18410000000000001</v>
      </c>
      <c r="DM22" s="31">
        <v>0.14000000000000001</v>
      </c>
      <c r="DN22" s="31">
        <v>0.17519999999999999</v>
      </c>
      <c r="DO22" s="31">
        <v>0.17280000000000001</v>
      </c>
      <c r="DP22" s="31">
        <v>0.15440000000000001</v>
      </c>
      <c r="DQ22" s="31">
        <v>0.17649999999999999</v>
      </c>
      <c r="DR22" s="31">
        <v>0.1522</v>
      </c>
      <c r="DS22" s="31">
        <v>0.17899999999999999</v>
      </c>
      <c r="DT22" s="31">
        <v>0.18099999999999999</v>
      </c>
      <c r="DU22" s="31">
        <v>0.1802</v>
      </c>
      <c r="DV22" s="31">
        <v>0.17899999999999999</v>
      </c>
      <c r="DW22" s="31">
        <v>0.182</v>
      </c>
      <c r="DX22" s="31">
        <v>0.1714</v>
      </c>
      <c r="DY22" s="31">
        <v>0.1726</v>
      </c>
      <c r="DZ22" s="31">
        <v>0.16589999999999999</v>
      </c>
      <c r="EA22" s="31">
        <v>0.17699999999999999</v>
      </c>
      <c r="EB22" s="31">
        <v>0.17780000000000001</v>
      </c>
      <c r="EC22" s="31">
        <v>0.16400000000000001</v>
      </c>
      <c r="ED22" s="31">
        <v>0.18</v>
      </c>
      <c r="EE22" s="31">
        <v>0.17519999999999999</v>
      </c>
    </row>
    <row r="23" spans="1:135" x14ac:dyDescent="0.3">
      <c r="A23" s="31" t="s">
        <v>177</v>
      </c>
      <c r="B23">
        <v>8.1100000000000005E-2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8.5500000000000007E-2</v>
      </c>
      <c r="N23">
        <v>8.9200000000000002E-2</v>
      </c>
      <c r="O23">
        <v>0</v>
      </c>
      <c r="P23">
        <v>0</v>
      </c>
      <c r="Q23">
        <v>0</v>
      </c>
      <c r="R23">
        <v>0.1145</v>
      </c>
      <c r="S23">
        <v>0.1081</v>
      </c>
      <c r="T23">
        <v>9.2600000000000002E-2</v>
      </c>
      <c r="U23">
        <v>0.10929999999999999</v>
      </c>
      <c r="V23">
        <v>9.7900000000000001E-2</v>
      </c>
      <c r="W23">
        <v>0.1012</v>
      </c>
      <c r="X23">
        <v>0.1003</v>
      </c>
      <c r="Y23">
        <v>0.1046</v>
      </c>
      <c r="Z23">
        <v>0.1007</v>
      </c>
      <c r="AA23">
        <v>0.1</v>
      </c>
      <c r="AB23">
        <v>0.1087</v>
      </c>
      <c r="AC23">
        <v>9.5100000000000004E-2</v>
      </c>
      <c r="AD23">
        <v>0.1052</v>
      </c>
      <c r="AE23">
        <v>9.2499999999999999E-2</v>
      </c>
      <c r="AF23">
        <v>9.4700000000000006E-2</v>
      </c>
      <c r="AG23">
        <v>0.1012</v>
      </c>
      <c r="AH23">
        <v>0.1041</v>
      </c>
      <c r="AI23">
        <v>0.1011</v>
      </c>
      <c r="AJ23">
        <v>9.3600000000000003E-2</v>
      </c>
      <c r="AK23">
        <v>9.8599999999999993E-2</v>
      </c>
      <c r="AL23">
        <v>0.1123</v>
      </c>
      <c r="AM23">
        <v>0.10349999999999999</v>
      </c>
      <c r="AN23">
        <v>0.1002</v>
      </c>
      <c r="AO23">
        <v>0.1014</v>
      </c>
      <c r="AP23">
        <v>9.7799999999999998E-2</v>
      </c>
      <c r="AQ23">
        <v>0.1032</v>
      </c>
      <c r="AR23">
        <v>9.6600000000000005E-2</v>
      </c>
      <c r="AS23">
        <v>9.2100000000000001E-2</v>
      </c>
      <c r="AT23">
        <v>0.1074</v>
      </c>
      <c r="AU23">
        <v>0.1046</v>
      </c>
      <c r="AV23">
        <v>0</v>
      </c>
      <c r="AW23">
        <v>0</v>
      </c>
      <c r="AX23">
        <v>9.8500000000000004E-2</v>
      </c>
      <c r="AY23">
        <v>0.1017</v>
      </c>
      <c r="AZ23">
        <v>9.2700000000000005E-2</v>
      </c>
      <c r="BA23">
        <v>9.0899999999999995E-2</v>
      </c>
      <c r="BB23">
        <v>0</v>
      </c>
      <c r="BC23">
        <v>8.0699999999999994E-2</v>
      </c>
      <c r="BD23">
        <v>0</v>
      </c>
      <c r="BE23">
        <v>0</v>
      </c>
      <c r="BF23">
        <v>8.4000000000000005E-2</v>
      </c>
      <c r="BG23">
        <v>0.1036</v>
      </c>
      <c r="BH23">
        <v>9.3799999999999994E-2</v>
      </c>
      <c r="BI23">
        <v>0</v>
      </c>
      <c r="BJ23">
        <v>0</v>
      </c>
      <c r="BK23">
        <v>0.1123</v>
      </c>
      <c r="BL23">
        <v>0.1113</v>
      </c>
      <c r="BM23">
        <v>0.1106</v>
      </c>
      <c r="BN23">
        <v>0</v>
      </c>
      <c r="BO23">
        <v>0.107</v>
      </c>
      <c r="BP23">
        <v>0.1135</v>
      </c>
      <c r="BQ23">
        <v>0.1066</v>
      </c>
      <c r="BR23">
        <v>8.9200000000000002E-2</v>
      </c>
      <c r="BS23">
        <v>0</v>
      </c>
      <c r="BT23">
        <v>9.0499999999999997E-2</v>
      </c>
      <c r="BU23">
        <v>0</v>
      </c>
      <c r="BV23">
        <v>0.10630000000000001</v>
      </c>
      <c r="BW23">
        <v>0.11210000000000001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8.09E-2</v>
      </c>
      <c r="CN23" s="31">
        <v>0</v>
      </c>
      <c r="CO23" s="31">
        <v>0</v>
      </c>
      <c r="CP23" s="31">
        <v>0.1018</v>
      </c>
      <c r="CQ23" s="31">
        <v>0.1089</v>
      </c>
      <c r="CR23" s="31">
        <v>8.5099999999999995E-2</v>
      </c>
      <c r="CS23" s="31">
        <v>0</v>
      </c>
      <c r="CT23" s="31">
        <v>0.1028</v>
      </c>
      <c r="CU23" s="31">
        <v>0.1119</v>
      </c>
      <c r="CV23" s="31">
        <v>0.11890000000000001</v>
      </c>
      <c r="CW23" s="31">
        <v>0.10199999999999999</v>
      </c>
      <c r="CX23" s="31">
        <v>8.1699999999999995E-2</v>
      </c>
      <c r="CY23" s="31">
        <v>9.6000000000000002E-2</v>
      </c>
      <c r="CZ23" s="31">
        <v>9.9000000000000005E-2</v>
      </c>
      <c r="DA23" s="31">
        <v>9.7900000000000001E-2</v>
      </c>
      <c r="DB23" s="31">
        <v>9.3200000000000005E-2</v>
      </c>
      <c r="DC23" s="31">
        <v>0</v>
      </c>
      <c r="DD23" s="31">
        <v>0</v>
      </c>
      <c r="DE23" s="31">
        <v>0</v>
      </c>
      <c r="DF23" s="31">
        <v>8.5800000000000001E-2</v>
      </c>
      <c r="DG23" s="31">
        <v>0</v>
      </c>
      <c r="DH23" s="31">
        <v>9.1499999999999998E-2</v>
      </c>
      <c r="DI23" s="31">
        <v>0</v>
      </c>
      <c r="DJ23" s="31">
        <v>0</v>
      </c>
      <c r="DK23" s="31">
        <v>0</v>
      </c>
      <c r="DL23" s="31">
        <v>0.1048</v>
      </c>
      <c r="DM23" s="31">
        <v>0</v>
      </c>
      <c r="DN23" s="31">
        <v>0.10100000000000001</v>
      </c>
      <c r="DO23" s="31">
        <v>0.1027</v>
      </c>
      <c r="DP23" s="31">
        <v>8.1600000000000006E-2</v>
      </c>
      <c r="DQ23" s="31">
        <v>9.1300000000000006E-2</v>
      </c>
      <c r="DR23" s="31">
        <v>8.4500000000000006E-2</v>
      </c>
      <c r="DS23" s="31">
        <v>9.3399999999999997E-2</v>
      </c>
      <c r="DT23" s="31">
        <v>9.8500000000000004E-2</v>
      </c>
      <c r="DU23" s="31">
        <v>9.4E-2</v>
      </c>
      <c r="DV23" s="31">
        <v>9.3700000000000006E-2</v>
      </c>
      <c r="DW23" s="31">
        <v>9.4700000000000006E-2</v>
      </c>
      <c r="DX23" s="31">
        <v>0</v>
      </c>
      <c r="DY23" s="31">
        <v>0</v>
      </c>
      <c r="DZ23" s="31">
        <v>9.9000000000000005E-2</v>
      </c>
      <c r="EA23" s="31">
        <v>0</v>
      </c>
      <c r="EB23" s="31">
        <v>0</v>
      </c>
      <c r="EC23" s="31">
        <v>0</v>
      </c>
      <c r="ED23" s="31">
        <v>9.3700000000000006E-2</v>
      </c>
      <c r="EE23" s="31">
        <v>9.5200000000000007E-2</v>
      </c>
    </row>
    <row r="24" spans="1:135" x14ac:dyDescent="0.3">
      <c r="A24" s="31" t="s">
        <v>178</v>
      </c>
      <c r="B24">
        <v>0.2278</v>
      </c>
      <c r="C24">
        <v>0.21560000000000001</v>
      </c>
      <c r="D24">
        <v>0.192</v>
      </c>
      <c r="E24">
        <v>0.22339999999999999</v>
      </c>
      <c r="F24">
        <v>0.24479999999999999</v>
      </c>
      <c r="G24">
        <v>0.27679999999999999</v>
      </c>
      <c r="H24" t="s">
        <v>160</v>
      </c>
      <c r="I24">
        <v>0.25619999999999998</v>
      </c>
      <c r="J24">
        <v>0</v>
      </c>
      <c r="K24">
        <v>0.25159999999999999</v>
      </c>
      <c r="L24">
        <v>0</v>
      </c>
      <c r="M24">
        <v>0</v>
      </c>
      <c r="N24">
        <v>0</v>
      </c>
      <c r="O24">
        <v>0.25</v>
      </c>
      <c r="P24">
        <v>0.2515</v>
      </c>
      <c r="Q24">
        <v>0</v>
      </c>
      <c r="R24">
        <v>0.24440000000000001</v>
      </c>
      <c r="S24">
        <v>0.2407</v>
      </c>
      <c r="T24">
        <v>0.25990000000000002</v>
      </c>
      <c r="U24">
        <v>0.255</v>
      </c>
      <c r="V24">
        <v>0.2298</v>
      </c>
      <c r="W24">
        <v>0.23139999999999999</v>
      </c>
      <c r="X24">
        <v>0.25950000000000001</v>
      </c>
      <c r="Y24">
        <v>0.2397</v>
      </c>
      <c r="Z24">
        <v>0.28549999999999998</v>
      </c>
      <c r="AA24">
        <v>0.2651</v>
      </c>
      <c r="AB24">
        <v>0.23039999999999999</v>
      </c>
      <c r="AC24">
        <v>0.26690000000000003</v>
      </c>
      <c r="AD24">
        <v>0.24179999999999999</v>
      </c>
      <c r="AE24">
        <v>0.27139999999999997</v>
      </c>
      <c r="AF24">
        <v>0.2419</v>
      </c>
      <c r="AG24">
        <v>0.24709999999999999</v>
      </c>
      <c r="AH24">
        <v>0.27460000000000001</v>
      </c>
      <c r="AI24">
        <v>0.28320000000000001</v>
      </c>
      <c r="AJ24">
        <v>0.28239999999999998</v>
      </c>
      <c r="AK24">
        <v>0.23680000000000001</v>
      </c>
      <c r="AL24">
        <v>0.24590000000000001</v>
      </c>
      <c r="AM24">
        <v>0.25390000000000001</v>
      </c>
      <c r="AN24">
        <v>0.26279999999999998</v>
      </c>
      <c r="AO24">
        <v>0.26829999999999998</v>
      </c>
      <c r="AP24">
        <v>0.25640000000000002</v>
      </c>
      <c r="AQ24">
        <v>0.2505</v>
      </c>
      <c r="AR24">
        <v>0.26390000000000002</v>
      </c>
      <c r="AS24">
        <v>0.22120000000000001</v>
      </c>
      <c r="AT24">
        <v>0.23469999999999999</v>
      </c>
      <c r="AU24">
        <v>0.25740000000000002</v>
      </c>
      <c r="AV24">
        <v>0.22739999999999999</v>
      </c>
      <c r="AW24">
        <v>0</v>
      </c>
      <c r="AX24">
        <v>0.25580000000000003</v>
      </c>
      <c r="AY24">
        <v>0.29199999999999998</v>
      </c>
      <c r="AZ24">
        <v>0.24879999999999999</v>
      </c>
      <c r="BA24">
        <v>0.2422</v>
      </c>
      <c r="BB24">
        <v>0.22370000000000001</v>
      </c>
      <c r="BC24">
        <v>0</v>
      </c>
      <c r="BD24">
        <v>0</v>
      </c>
      <c r="BE24">
        <v>0</v>
      </c>
      <c r="BF24">
        <v>0</v>
      </c>
      <c r="BG24">
        <v>0.25330000000000003</v>
      </c>
      <c r="BH24">
        <v>0.25929999999999997</v>
      </c>
      <c r="BI24">
        <v>0.27579999999999999</v>
      </c>
      <c r="BJ24">
        <v>0.25869999999999999</v>
      </c>
      <c r="BK24">
        <v>0.28999999999999998</v>
      </c>
      <c r="BL24">
        <v>0.26</v>
      </c>
      <c r="BM24">
        <v>0.25090000000000001</v>
      </c>
      <c r="BN24">
        <v>0.23669999999999999</v>
      </c>
      <c r="BO24">
        <v>0.25679999999999997</v>
      </c>
      <c r="BP24">
        <v>0.2492</v>
      </c>
      <c r="BQ24">
        <v>0.26450000000000001</v>
      </c>
      <c r="BR24">
        <v>0.23549999999999999</v>
      </c>
      <c r="BS24">
        <v>0.25769999999999998</v>
      </c>
      <c r="BT24">
        <v>0.24379999999999999</v>
      </c>
      <c r="BU24">
        <v>0.2414</v>
      </c>
      <c r="BV24">
        <v>0.2671</v>
      </c>
      <c r="BW24">
        <v>0.25869999999999999</v>
      </c>
      <c r="BX24" s="31">
        <v>0.2417</v>
      </c>
      <c r="BY24" s="31">
        <v>0</v>
      </c>
      <c r="BZ24" s="31">
        <v>0.23719999999999999</v>
      </c>
      <c r="CA24" s="31">
        <v>0</v>
      </c>
      <c r="CB24" s="31">
        <v>0.21099999999999999</v>
      </c>
      <c r="CC24" s="31">
        <v>0</v>
      </c>
      <c r="CD24" s="31">
        <v>0</v>
      </c>
      <c r="CE24" s="31">
        <v>0.26960000000000001</v>
      </c>
      <c r="CF24" s="31">
        <v>0.2356</v>
      </c>
      <c r="CG24" s="31">
        <v>0</v>
      </c>
      <c r="CH24" s="31">
        <v>0</v>
      </c>
      <c r="CI24" s="31">
        <v>0.2485</v>
      </c>
      <c r="CJ24" s="31">
        <v>0</v>
      </c>
      <c r="CK24" s="31">
        <v>0.23719999999999999</v>
      </c>
      <c r="CL24" s="31">
        <v>0</v>
      </c>
      <c r="CM24" s="31">
        <v>0.2487</v>
      </c>
      <c r="CN24" s="31">
        <v>0.25530000000000003</v>
      </c>
      <c r="CO24" s="31">
        <v>0</v>
      </c>
      <c r="CP24" s="31">
        <v>0.24560000000000001</v>
      </c>
      <c r="CQ24" s="31">
        <v>0.26200000000000001</v>
      </c>
      <c r="CR24" s="31">
        <v>0.24160000000000001</v>
      </c>
      <c r="CS24" s="31">
        <v>0.2167</v>
      </c>
      <c r="CT24" s="31">
        <v>0.28039999999999998</v>
      </c>
      <c r="CU24" s="31">
        <v>0.23980000000000001</v>
      </c>
      <c r="CV24" s="31">
        <v>0.2631</v>
      </c>
      <c r="CW24" s="31">
        <v>0.22520000000000001</v>
      </c>
      <c r="CX24" s="31">
        <v>0.2235</v>
      </c>
      <c r="CY24" s="31">
        <v>0.25159999999999999</v>
      </c>
      <c r="CZ24" s="31">
        <v>0.25459999999999999</v>
      </c>
      <c r="DA24" s="31">
        <v>0.23960000000000001</v>
      </c>
      <c r="DB24" s="31">
        <v>0.27050000000000002</v>
      </c>
      <c r="DC24" s="31">
        <v>0.22789999999999999</v>
      </c>
      <c r="DD24" s="31">
        <v>0</v>
      </c>
      <c r="DE24" s="31">
        <v>0</v>
      </c>
      <c r="DF24" s="31">
        <v>0.24110000000000001</v>
      </c>
      <c r="DG24" s="31">
        <v>0.24540000000000001</v>
      </c>
      <c r="DH24" s="31">
        <v>0.25850000000000001</v>
      </c>
      <c r="DI24" s="31">
        <v>0</v>
      </c>
      <c r="DJ24" s="31">
        <v>0.23019999999999999</v>
      </c>
      <c r="DK24" s="31">
        <v>0</v>
      </c>
      <c r="DL24" s="31">
        <v>0.2646</v>
      </c>
      <c r="DM24" s="31">
        <v>0</v>
      </c>
      <c r="DN24" s="31">
        <v>0.28210000000000002</v>
      </c>
      <c r="DO24" s="31">
        <v>0.26390000000000002</v>
      </c>
      <c r="DP24" s="31">
        <v>0.24490000000000001</v>
      </c>
      <c r="DQ24" s="31">
        <v>0.26300000000000001</v>
      </c>
      <c r="DR24" s="31">
        <v>0.23230000000000001</v>
      </c>
      <c r="DS24" s="31">
        <v>0.27279999999999999</v>
      </c>
      <c r="DT24" s="31">
        <v>0.25009999999999999</v>
      </c>
      <c r="DU24" s="31">
        <v>0.27479999999999999</v>
      </c>
      <c r="DV24" s="31">
        <v>0.2676</v>
      </c>
      <c r="DW24" s="31">
        <v>0.2351</v>
      </c>
      <c r="DX24" s="31">
        <v>0.22570000000000001</v>
      </c>
      <c r="DY24" s="31">
        <v>0.2326</v>
      </c>
      <c r="DZ24" s="31">
        <v>0.28189999999999998</v>
      </c>
      <c r="EA24" s="31">
        <v>0.25719999999999998</v>
      </c>
      <c r="EB24" s="31">
        <v>0.2676</v>
      </c>
      <c r="EC24" s="31">
        <v>0.2646</v>
      </c>
      <c r="ED24" s="31">
        <v>0.26519999999999999</v>
      </c>
      <c r="EE24" s="31">
        <v>0.2636</v>
      </c>
    </row>
    <row r="25" spans="1:135" x14ac:dyDescent="0.3">
      <c r="A25" s="31" t="s">
        <v>179</v>
      </c>
      <c r="B25">
        <v>0</v>
      </c>
      <c r="C25">
        <v>0</v>
      </c>
      <c r="D25">
        <v>0</v>
      </c>
      <c r="E25">
        <v>8.3299999999999999E-2</v>
      </c>
      <c r="F25">
        <v>0</v>
      </c>
      <c r="G25">
        <v>9.9000000000000005E-2</v>
      </c>
      <c r="H25">
        <v>0</v>
      </c>
      <c r="I25">
        <v>0</v>
      </c>
      <c r="J25">
        <v>0</v>
      </c>
      <c r="K25">
        <v>0.1</v>
      </c>
      <c r="L25">
        <v>0</v>
      </c>
      <c r="M25">
        <v>0</v>
      </c>
      <c r="N25">
        <v>9.7600000000000006E-2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8.8300000000000003E-2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8.7400000000000005E-2</v>
      </c>
      <c r="BD25">
        <v>0</v>
      </c>
      <c r="BE25">
        <v>8.72E-2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9.8799999999999999E-2</v>
      </c>
      <c r="BU25">
        <v>8.7499999999999994E-2</v>
      </c>
      <c r="BV25">
        <v>0</v>
      </c>
      <c r="BW25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8.0199999999999994E-2</v>
      </c>
      <c r="CE25" s="31">
        <v>0</v>
      </c>
      <c r="CF25" s="31">
        <v>0</v>
      </c>
      <c r="CG25" s="31">
        <v>0</v>
      </c>
      <c r="CH25" s="31">
        <v>9.3600000000000003E-2</v>
      </c>
      <c r="CI25" s="31">
        <v>0</v>
      </c>
      <c r="CJ25" s="31">
        <v>8.3699999999999997E-2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T25" s="31">
        <v>0</v>
      </c>
      <c r="CU25" s="31">
        <v>0.1022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9.6100000000000005E-2</v>
      </c>
      <c r="DI25" s="31">
        <v>0</v>
      </c>
      <c r="DJ25" s="31">
        <v>0</v>
      </c>
      <c r="DK25" s="31">
        <v>0</v>
      </c>
      <c r="DL25" s="31">
        <v>0</v>
      </c>
      <c r="DM25" s="31">
        <v>7.6600000000000001E-2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0</v>
      </c>
      <c r="DW25" s="31">
        <v>0</v>
      </c>
      <c r="DX25" s="31">
        <v>0</v>
      </c>
      <c r="DY25" s="31">
        <v>0</v>
      </c>
      <c r="DZ25" s="31">
        <v>0</v>
      </c>
      <c r="EA25" s="31">
        <v>0</v>
      </c>
      <c r="EB25" s="31">
        <v>0</v>
      </c>
      <c r="EC25" s="31">
        <v>0</v>
      </c>
      <c r="ED25" s="31">
        <v>0</v>
      </c>
      <c r="EE25" s="31">
        <v>0</v>
      </c>
    </row>
    <row r="26" spans="1:135" x14ac:dyDescent="0.3">
      <c r="A26" s="31" t="s">
        <v>180</v>
      </c>
      <c r="B26">
        <v>0.23599999999999999</v>
      </c>
      <c r="C26">
        <v>0.2525</v>
      </c>
      <c r="D26">
        <v>0.27100000000000002</v>
      </c>
      <c r="E26">
        <v>0.23619999999999999</v>
      </c>
      <c r="F26">
        <v>0.28160000000000002</v>
      </c>
      <c r="G26">
        <v>0</v>
      </c>
      <c r="H26">
        <v>0.26040000000000002</v>
      </c>
      <c r="I26">
        <v>0.2838</v>
      </c>
      <c r="J26">
        <v>0</v>
      </c>
      <c r="K26">
        <v>0.28050000000000003</v>
      </c>
      <c r="L26">
        <v>0.27550000000000002</v>
      </c>
      <c r="M26">
        <v>0</v>
      </c>
      <c r="N26">
        <v>0</v>
      </c>
      <c r="O26">
        <v>0.2555</v>
      </c>
      <c r="P26">
        <v>0.27300000000000002</v>
      </c>
      <c r="Q26">
        <v>0.24149999999999999</v>
      </c>
      <c r="R26">
        <v>0.24679999999999999</v>
      </c>
      <c r="S26">
        <v>0.28520000000000001</v>
      </c>
      <c r="T26">
        <v>0.26200000000000001</v>
      </c>
      <c r="U26">
        <v>0.28349999999999997</v>
      </c>
      <c r="V26">
        <v>0.2581</v>
      </c>
      <c r="W26">
        <v>0.25640000000000002</v>
      </c>
      <c r="X26">
        <v>0.27189999999999998</v>
      </c>
      <c r="Y26">
        <v>0.25650000000000001</v>
      </c>
      <c r="Z26">
        <v>0.25519999999999998</v>
      </c>
      <c r="AA26">
        <v>0.27939999999999998</v>
      </c>
      <c r="AB26">
        <v>0.28489999999999999</v>
      </c>
      <c r="AC26">
        <v>0.24610000000000001</v>
      </c>
      <c r="AD26">
        <v>0.26569999999999999</v>
      </c>
      <c r="AE26">
        <v>0.26939999999999997</v>
      </c>
      <c r="AF26">
        <v>0.26919999999999999</v>
      </c>
      <c r="AG26">
        <v>0.26090000000000002</v>
      </c>
      <c r="AH26">
        <v>0.27650000000000002</v>
      </c>
      <c r="AI26">
        <v>0.2407</v>
      </c>
      <c r="AJ26">
        <v>0.26229999999999998</v>
      </c>
      <c r="AK26">
        <v>0.28270000000000001</v>
      </c>
      <c r="AL26">
        <v>0.26450000000000001</v>
      </c>
      <c r="AM26">
        <v>0.2928</v>
      </c>
      <c r="AN26">
        <v>0.25690000000000002</v>
      </c>
      <c r="AO26">
        <v>0.25640000000000002</v>
      </c>
      <c r="AP26">
        <v>0.26050000000000001</v>
      </c>
      <c r="AQ26">
        <v>0.27439999999999998</v>
      </c>
      <c r="AR26">
        <v>0.29089999999999999</v>
      </c>
      <c r="AS26">
        <v>0.24149999999999999</v>
      </c>
      <c r="AT26">
        <v>0.246</v>
      </c>
      <c r="AU26">
        <v>0.2611</v>
      </c>
      <c r="AV26">
        <v>0.25269999999999998</v>
      </c>
      <c r="AW26">
        <v>0</v>
      </c>
      <c r="AX26">
        <v>0.26329999999999998</v>
      </c>
      <c r="AY26">
        <v>0.27429999999999999</v>
      </c>
      <c r="AZ26">
        <v>0.26629999999999998</v>
      </c>
      <c r="BA26">
        <v>0.25569999999999998</v>
      </c>
      <c r="BB26">
        <v>0.2606</v>
      </c>
      <c r="BC26">
        <v>0</v>
      </c>
      <c r="BD26">
        <v>0</v>
      </c>
      <c r="BE26">
        <v>0</v>
      </c>
      <c r="BF26">
        <v>0.23280000000000001</v>
      </c>
      <c r="BG26">
        <v>0.27510000000000001</v>
      </c>
      <c r="BH26">
        <v>0.26440000000000002</v>
      </c>
      <c r="BI26">
        <v>0.25340000000000001</v>
      </c>
      <c r="BJ26">
        <v>0.25119999999999998</v>
      </c>
      <c r="BK26">
        <v>0.25480000000000003</v>
      </c>
      <c r="BL26">
        <v>0.27300000000000002</v>
      </c>
      <c r="BM26">
        <v>0.26050000000000001</v>
      </c>
      <c r="BN26">
        <v>0.2545</v>
      </c>
      <c r="BO26">
        <v>0.29459999999999997</v>
      </c>
      <c r="BP26">
        <v>0.26729999999999998</v>
      </c>
      <c r="BQ26">
        <v>0.25969999999999999</v>
      </c>
      <c r="BR26">
        <v>0.2364</v>
      </c>
      <c r="BS26">
        <v>0.27939999999999998</v>
      </c>
      <c r="BT26">
        <v>0.25919999999999999</v>
      </c>
      <c r="BU26">
        <v>0.22170000000000001</v>
      </c>
      <c r="BV26">
        <v>0.26729999999999998</v>
      </c>
      <c r="BW26">
        <v>0.2626</v>
      </c>
      <c r="BX26" s="31">
        <v>0</v>
      </c>
      <c r="BY26" s="31">
        <v>0.28010000000000002</v>
      </c>
      <c r="BZ26" s="31">
        <v>0</v>
      </c>
      <c r="CA26" s="31">
        <v>0</v>
      </c>
      <c r="CB26" s="31">
        <v>0.23119999999999999</v>
      </c>
      <c r="CC26" s="31">
        <v>0.2334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0.2717</v>
      </c>
      <c r="CJ26" s="31">
        <v>0.21790000000000001</v>
      </c>
      <c r="CK26" s="31">
        <v>0.24329999999999999</v>
      </c>
      <c r="CL26" s="31">
        <v>0</v>
      </c>
      <c r="CM26" s="31">
        <v>0.22939999999999999</v>
      </c>
      <c r="CN26" s="31">
        <v>0</v>
      </c>
      <c r="CO26" s="31">
        <v>0.27710000000000001</v>
      </c>
      <c r="CP26" s="31">
        <v>0.26219999999999999</v>
      </c>
      <c r="CQ26" s="31">
        <v>0.27489999999999998</v>
      </c>
      <c r="CR26" s="31">
        <v>0.2571</v>
      </c>
      <c r="CS26" s="31">
        <v>0.25219999999999998</v>
      </c>
      <c r="CT26" s="31">
        <v>0.25829999999999997</v>
      </c>
      <c r="CU26" s="31">
        <v>0.27360000000000001</v>
      </c>
      <c r="CV26" s="31">
        <v>0.25080000000000002</v>
      </c>
      <c r="CW26" s="31">
        <v>0.2576</v>
      </c>
      <c r="CX26" s="31">
        <v>0.26750000000000002</v>
      </c>
      <c r="CY26" s="31">
        <v>0.2477</v>
      </c>
      <c r="CZ26" s="31">
        <v>0.25530000000000003</v>
      </c>
      <c r="DA26" s="31">
        <v>0.26879999999999998</v>
      </c>
      <c r="DB26" s="31">
        <v>0.25559999999999999</v>
      </c>
      <c r="DC26" s="31">
        <v>0</v>
      </c>
      <c r="DD26" s="31">
        <v>0</v>
      </c>
      <c r="DE26" s="31">
        <v>0</v>
      </c>
      <c r="DF26" s="31">
        <v>0.25669999999999998</v>
      </c>
      <c r="DG26" s="31">
        <v>0.252</v>
      </c>
      <c r="DH26" s="31">
        <v>0</v>
      </c>
      <c r="DI26" s="31">
        <v>0</v>
      </c>
      <c r="DJ26" s="31">
        <v>0.2545</v>
      </c>
      <c r="DK26" s="31">
        <v>0</v>
      </c>
      <c r="DL26" s="31">
        <v>0.26129999999999998</v>
      </c>
      <c r="DM26" s="31">
        <v>0.21609999999999999</v>
      </c>
      <c r="DN26" s="31">
        <v>0.28889999999999999</v>
      </c>
      <c r="DO26" s="31">
        <v>0.25829999999999997</v>
      </c>
      <c r="DP26" s="31">
        <v>0.2366</v>
      </c>
      <c r="DQ26" s="31">
        <v>0.2384</v>
      </c>
      <c r="DR26" s="31">
        <v>0.26869999999999999</v>
      </c>
      <c r="DS26" s="31">
        <v>0.27089999999999997</v>
      </c>
      <c r="DT26" s="31">
        <v>0.27079999999999999</v>
      </c>
      <c r="DU26" s="31">
        <v>0.27800000000000002</v>
      </c>
      <c r="DV26" s="31">
        <v>0.2944</v>
      </c>
      <c r="DW26" s="31">
        <v>0.26600000000000001</v>
      </c>
      <c r="DX26" s="31">
        <v>0.27800000000000002</v>
      </c>
      <c r="DY26" s="31">
        <v>0.26650000000000001</v>
      </c>
      <c r="DZ26" s="31">
        <v>0.24010000000000001</v>
      </c>
      <c r="EA26" s="31">
        <v>0.25800000000000001</v>
      </c>
      <c r="EB26" s="31">
        <v>0.25979999999999998</v>
      </c>
      <c r="EC26" s="31">
        <v>0.26790000000000003</v>
      </c>
      <c r="ED26" s="31">
        <v>0.26579999999999998</v>
      </c>
      <c r="EE26" s="31">
        <v>0.27110000000000001</v>
      </c>
    </row>
    <row r="27" spans="1:135" x14ac:dyDescent="0.3">
      <c r="A27" s="31" t="s">
        <v>181</v>
      </c>
      <c r="B27">
        <v>0.59740000000000004</v>
      </c>
      <c r="C27">
        <v>0.51549999999999996</v>
      </c>
      <c r="D27">
        <v>0</v>
      </c>
      <c r="E27">
        <v>0.61350000000000005</v>
      </c>
      <c r="F27">
        <v>0</v>
      </c>
      <c r="G27">
        <v>0.69330000000000003</v>
      </c>
      <c r="H27">
        <v>0.67400000000000004</v>
      </c>
      <c r="I27">
        <v>0</v>
      </c>
      <c r="J27">
        <v>0</v>
      </c>
      <c r="K27">
        <v>0.68530000000000002</v>
      </c>
      <c r="L27">
        <v>0</v>
      </c>
      <c r="M27">
        <v>0.62590000000000001</v>
      </c>
      <c r="N27">
        <v>0.63790000000000002</v>
      </c>
      <c r="O27">
        <v>0.66259999999999997</v>
      </c>
      <c r="P27">
        <v>0.6331</v>
      </c>
      <c r="Q27">
        <v>0.63160000000000005</v>
      </c>
      <c r="R27">
        <v>0.70589999999999997</v>
      </c>
      <c r="S27">
        <v>0.6018</v>
      </c>
      <c r="T27">
        <v>0.68510000000000004</v>
      </c>
      <c r="U27">
        <v>0.63939999999999997</v>
      </c>
      <c r="V27">
        <v>0.64300000000000002</v>
      </c>
      <c r="W27">
        <v>0.63870000000000005</v>
      </c>
      <c r="X27">
        <v>0.69569999999999999</v>
      </c>
      <c r="Y27">
        <v>0.67820000000000003</v>
      </c>
      <c r="Z27">
        <v>0.62</v>
      </c>
      <c r="AA27">
        <v>0.66139999999999999</v>
      </c>
      <c r="AB27">
        <v>0.69079999999999997</v>
      </c>
      <c r="AC27">
        <v>0.69010000000000005</v>
      </c>
      <c r="AD27">
        <v>0.69910000000000005</v>
      </c>
      <c r="AE27">
        <v>0.69</v>
      </c>
      <c r="AF27">
        <v>0.68610000000000004</v>
      </c>
      <c r="AG27">
        <v>0.68269999999999997</v>
      </c>
      <c r="AH27">
        <v>0.65900000000000003</v>
      </c>
      <c r="AI27">
        <v>0.71760000000000002</v>
      </c>
      <c r="AJ27">
        <v>0.67169999999999996</v>
      </c>
      <c r="AK27">
        <v>0.70289999999999997</v>
      </c>
      <c r="AL27">
        <v>0.70040000000000002</v>
      </c>
      <c r="AM27">
        <v>0.68279999999999996</v>
      </c>
      <c r="AN27">
        <v>0</v>
      </c>
      <c r="AO27">
        <v>0.69110000000000005</v>
      </c>
      <c r="AP27">
        <v>0.6653</v>
      </c>
      <c r="AQ27" t="s">
        <v>160</v>
      </c>
      <c r="AR27">
        <v>0</v>
      </c>
      <c r="AS27">
        <v>0.626</v>
      </c>
      <c r="AT27">
        <v>0.69510000000000005</v>
      </c>
      <c r="AU27">
        <v>0.65500000000000003</v>
      </c>
      <c r="AV27">
        <v>0</v>
      </c>
      <c r="AW27">
        <v>0.64570000000000005</v>
      </c>
      <c r="AX27">
        <v>0</v>
      </c>
      <c r="AY27">
        <v>0.71099999999999997</v>
      </c>
      <c r="AZ27">
        <v>0.66279999999999994</v>
      </c>
      <c r="BA27">
        <v>0</v>
      </c>
      <c r="BB27">
        <v>0.63070000000000004</v>
      </c>
      <c r="BC27">
        <v>0</v>
      </c>
      <c r="BD27">
        <v>0</v>
      </c>
      <c r="BE27">
        <v>0.63380000000000003</v>
      </c>
      <c r="BF27">
        <v>0</v>
      </c>
      <c r="BG27">
        <v>0.65980000000000005</v>
      </c>
      <c r="BH27">
        <v>0.64880000000000004</v>
      </c>
      <c r="BI27">
        <v>0.65039999999999998</v>
      </c>
      <c r="BJ27">
        <v>0</v>
      </c>
      <c r="BK27">
        <v>0</v>
      </c>
      <c r="BL27">
        <v>0</v>
      </c>
      <c r="BM27" t="s">
        <v>160</v>
      </c>
      <c r="BN27">
        <v>0.66180000000000005</v>
      </c>
      <c r="BO27">
        <v>0</v>
      </c>
      <c r="BP27">
        <v>0.6673</v>
      </c>
      <c r="BQ27">
        <v>0.6704</v>
      </c>
      <c r="BR27">
        <v>0</v>
      </c>
      <c r="BS27">
        <v>0.6825</v>
      </c>
      <c r="BT27">
        <v>0</v>
      </c>
      <c r="BU27">
        <v>0</v>
      </c>
      <c r="BV27">
        <v>0.64839999999999998</v>
      </c>
      <c r="BW27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0.56930000000000003</v>
      </c>
      <c r="CE27" s="31">
        <v>0.66659999999999997</v>
      </c>
      <c r="CF27" s="31">
        <v>0.60499999999999998</v>
      </c>
      <c r="CG27" s="31">
        <v>0.62019999999999997</v>
      </c>
      <c r="CH27" s="31">
        <v>0.59599999999999997</v>
      </c>
      <c r="CI27" s="31">
        <v>0.62380000000000002</v>
      </c>
      <c r="CJ27" s="31">
        <v>0</v>
      </c>
      <c r="CK27" s="31">
        <v>0.61309999999999998</v>
      </c>
      <c r="CL27" s="31">
        <v>0.63080000000000003</v>
      </c>
      <c r="CM27" s="31">
        <v>0.5958</v>
      </c>
      <c r="CN27" s="31">
        <v>0.6794</v>
      </c>
      <c r="CO27" s="31">
        <v>0</v>
      </c>
      <c r="CP27" s="31">
        <v>0.65500000000000003</v>
      </c>
      <c r="CQ27" s="31">
        <v>0</v>
      </c>
      <c r="CR27" s="31">
        <v>0.60540000000000005</v>
      </c>
      <c r="CS27" s="31">
        <v>0</v>
      </c>
      <c r="CT27" s="31" t="s">
        <v>160</v>
      </c>
      <c r="CU27" s="31">
        <v>0.60660000000000003</v>
      </c>
      <c r="CV27" s="31">
        <v>0</v>
      </c>
      <c r="CW27" s="31">
        <v>0.65539999999999998</v>
      </c>
      <c r="CX27" s="31">
        <v>0</v>
      </c>
      <c r="CY27" s="31">
        <v>0.67</v>
      </c>
      <c r="CZ27" s="31">
        <v>0.65669999999999995</v>
      </c>
      <c r="DA27" s="31">
        <v>0.67810000000000004</v>
      </c>
      <c r="DB27" s="31">
        <v>0.64200000000000002</v>
      </c>
      <c r="DC27" s="31">
        <v>0.64880000000000004</v>
      </c>
      <c r="DD27" s="31">
        <v>0.63619999999999999</v>
      </c>
      <c r="DE27" s="31">
        <v>0.57420000000000004</v>
      </c>
      <c r="DF27" s="31">
        <v>0</v>
      </c>
      <c r="DG27" s="31">
        <v>0</v>
      </c>
      <c r="DH27" s="31">
        <v>0.63900000000000001</v>
      </c>
      <c r="DI27" s="31">
        <v>0.58120000000000005</v>
      </c>
      <c r="DJ27" s="31">
        <v>0</v>
      </c>
      <c r="DK27" s="31">
        <v>0</v>
      </c>
      <c r="DL27" s="31">
        <v>0</v>
      </c>
      <c r="DM27" s="31">
        <v>0.61060000000000003</v>
      </c>
      <c r="DN27" s="31">
        <v>0</v>
      </c>
      <c r="DO27" s="31">
        <v>0.68479999999999996</v>
      </c>
      <c r="DP27" s="31">
        <v>0</v>
      </c>
      <c r="DQ27" s="31">
        <v>0.64549999999999996</v>
      </c>
      <c r="DR27" s="31">
        <v>0</v>
      </c>
      <c r="DS27" s="31">
        <v>0.70309999999999995</v>
      </c>
      <c r="DT27" s="31">
        <v>0</v>
      </c>
      <c r="DU27" s="31">
        <v>0</v>
      </c>
      <c r="DV27" s="31">
        <v>0.64429999999999998</v>
      </c>
      <c r="DW27" s="31">
        <v>0.72299999999999998</v>
      </c>
      <c r="DX27" s="31">
        <v>0.68789999999999996</v>
      </c>
      <c r="DY27" s="31">
        <v>0</v>
      </c>
      <c r="DZ27" s="31">
        <v>0.65620000000000001</v>
      </c>
      <c r="EA27" s="31">
        <v>0</v>
      </c>
      <c r="EB27" s="31">
        <v>0.64139999999999997</v>
      </c>
      <c r="EC27" s="31">
        <v>0.59240000000000004</v>
      </c>
      <c r="ED27" s="31">
        <v>0.70530000000000004</v>
      </c>
      <c r="EE27" s="31">
        <v>0.59409999999999996</v>
      </c>
    </row>
    <row r="28" spans="1:135" x14ac:dyDescent="0.3">
      <c r="A28" s="31" t="s">
        <v>182</v>
      </c>
      <c r="B28">
        <v>0.10050000000000001</v>
      </c>
      <c r="C28">
        <v>0.1066</v>
      </c>
      <c r="D28">
        <v>0.10440000000000001</v>
      </c>
      <c r="E28">
        <v>9.9900000000000003E-2</v>
      </c>
      <c r="F28">
        <v>0.1148</v>
      </c>
      <c r="G28">
        <v>0.11219999999999999</v>
      </c>
      <c r="H28">
        <v>0.1187</v>
      </c>
      <c r="I28">
        <v>0</v>
      </c>
      <c r="J28">
        <v>0.1118</v>
      </c>
      <c r="K28">
        <v>0.11990000000000001</v>
      </c>
      <c r="L28">
        <v>0.1114</v>
      </c>
      <c r="M28">
        <v>0</v>
      </c>
      <c r="N28">
        <v>0</v>
      </c>
      <c r="O28">
        <v>0</v>
      </c>
      <c r="P28">
        <v>0.1157</v>
      </c>
      <c r="Q28">
        <v>0.11550000000000001</v>
      </c>
      <c r="R28">
        <v>0.1134</v>
      </c>
      <c r="S28">
        <v>0.12189999999999999</v>
      </c>
      <c r="T28">
        <v>0.11219999999999999</v>
      </c>
      <c r="U28">
        <v>0.11210000000000001</v>
      </c>
      <c r="V28">
        <v>0.1108</v>
      </c>
      <c r="W28">
        <v>0.1137</v>
      </c>
      <c r="X28">
        <v>0.11550000000000001</v>
      </c>
      <c r="Y28">
        <v>0.1123</v>
      </c>
      <c r="Z28">
        <v>0.11749999999999999</v>
      </c>
      <c r="AA28">
        <v>0.1118</v>
      </c>
      <c r="AB28">
        <v>0.115</v>
      </c>
      <c r="AC28">
        <v>0.1152</v>
      </c>
      <c r="AD28">
        <v>0.1123</v>
      </c>
      <c r="AE28">
        <v>0.1154</v>
      </c>
      <c r="AF28">
        <v>0.11310000000000001</v>
      </c>
      <c r="AG28">
        <v>0.1154</v>
      </c>
      <c r="AH28">
        <v>0.11360000000000001</v>
      </c>
      <c r="AI28">
        <v>0.1114</v>
      </c>
      <c r="AJ28">
        <v>0.1178</v>
      </c>
      <c r="AK28">
        <v>0.113</v>
      </c>
      <c r="AL28">
        <v>0.1099</v>
      </c>
      <c r="AM28">
        <v>0.115</v>
      </c>
      <c r="AN28">
        <v>0.1157</v>
      </c>
      <c r="AO28">
        <v>0.1125</v>
      </c>
      <c r="AP28">
        <v>0.1149</v>
      </c>
      <c r="AQ28">
        <v>0.11169999999999999</v>
      </c>
      <c r="AR28">
        <v>0.11210000000000001</v>
      </c>
      <c r="AS28">
        <v>0.1119</v>
      </c>
      <c r="AT28">
        <v>0.11940000000000001</v>
      </c>
      <c r="AU28">
        <v>0.11219999999999999</v>
      </c>
      <c r="AV28">
        <v>0.11</v>
      </c>
      <c r="AW28">
        <v>0</v>
      </c>
      <c r="AX28">
        <v>0.1128</v>
      </c>
      <c r="AY28">
        <v>0.1183</v>
      </c>
      <c r="AZ28">
        <v>0.1114</v>
      </c>
      <c r="BA28">
        <v>0.1053</v>
      </c>
      <c r="BB28">
        <v>0.10249999999999999</v>
      </c>
      <c r="BC28">
        <v>0</v>
      </c>
      <c r="BD28">
        <v>0.10489999999999999</v>
      </c>
      <c r="BE28">
        <v>0.1057</v>
      </c>
      <c r="BF28">
        <v>0.1076</v>
      </c>
      <c r="BG28">
        <v>0.1124</v>
      </c>
      <c r="BH28">
        <v>0.11260000000000001</v>
      </c>
      <c r="BI28">
        <v>0.1173</v>
      </c>
      <c r="BJ28">
        <v>0.1162</v>
      </c>
      <c r="BK28">
        <v>0.1133</v>
      </c>
      <c r="BL28">
        <v>0.11310000000000001</v>
      </c>
      <c r="BM28">
        <v>0.1157</v>
      </c>
      <c r="BN28">
        <v>0.1158</v>
      </c>
      <c r="BO28">
        <v>0.1128</v>
      </c>
      <c r="BP28">
        <v>0.1133</v>
      </c>
      <c r="BQ28">
        <v>0.1116</v>
      </c>
      <c r="BR28">
        <v>0.1062</v>
      </c>
      <c r="BS28">
        <v>0.11749999999999999</v>
      </c>
      <c r="BT28">
        <v>0.1038</v>
      </c>
      <c r="BU28">
        <v>9.9000000000000005E-2</v>
      </c>
      <c r="BV28">
        <v>0.1153</v>
      </c>
      <c r="BW28">
        <v>0.1152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0.11310000000000001</v>
      </c>
      <c r="CQ28" s="31">
        <v>0.1143</v>
      </c>
      <c r="CR28" s="31">
        <v>0</v>
      </c>
      <c r="CS28" s="31">
        <v>0</v>
      </c>
      <c r="CT28" s="31">
        <v>0.1116</v>
      </c>
      <c r="CU28" s="31">
        <v>0.107</v>
      </c>
      <c r="CV28" s="31">
        <v>0.1095</v>
      </c>
      <c r="CW28" s="31">
        <v>0.11269999999999999</v>
      </c>
      <c r="CX28" s="31">
        <v>0.1004</v>
      </c>
      <c r="CY28" s="31">
        <v>0.11609999999999999</v>
      </c>
      <c r="CZ28" s="31">
        <v>0.1094</v>
      </c>
      <c r="DA28" s="31">
        <v>0.1176</v>
      </c>
      <c r="DB28" s="31">
        <v>0.1143</v>
      </c>
      <c r="DC28" s="31">
        <v>0</v>
      </c>
      <c r="DD28" s="31">
        <v>0</v>
      </c>
      <c r="DE28" s="31">
        <v>0</v>
      </c>
      <c r="DF28" s="31">
        <v>9.8799999999999999E-2</v>
      </c>
      <c r="DG28" s="31">
        <v>0.11990000000000001</v>
      </c>
      <c r="DH28" s="31">
        <v>0.1187</v>
      </c>
      <c r="DI28" s="31">
        <v>0</v>
      </c>
      <c r="DJ28" s="31">
        <v>0</v>
      </c>
      <c r="DK28" s="31">
        <v>0</v>
      </c>
      <c r="DL28" s="31">
        <v>0.1166</v>
      </c>
      <c r="DM28" s="31">
        <v>0</v>
      </c>
      <c r="DN28" s="31">
        <v>0.11799999999999999</v>
      </c>
      <c r="DO28" s="31">
        <v>0.11700000000000001</v>
      </c>
      <c r="DP28" s="31">
        <v>9.98E-2</v>
      </c>
      <c r="DQ28" s="31">
        <v>0.1147</v>
      </c>
      <c r="DR28" s="31">
        <v>0.1011</v>
      </c>
      <c r="DS28" s="31">
        <v>0.1143</v>
      </c>
      <c r="DT28" s="31">
        <v>0.1142</v>
      </c>
      <c r="DU28" s="31">
        <v>0.1164</v>
      </c>
      <c r="DV28" s="31">
        <v>0.11700000000000001</v>
      </c>
      <c r="DW28" s="31">
        <v>0.11070000000000001</v>
      </c>
      <c r="DX28" s="31">
        <v>0.1145</v>
      </c>
      <c r="DY28" s="31">
        <v>0.108</v>
      </c>
      <c r="DZ28" s="31">
        <v>0.1128</v>
      </c>
      <c r="EA28" s="31">
        <v>0.111</v>
      </c>
      <c r="EB28" s="31">
        <v>0.1113</v>
      </c>
      <c r="EC28" s="31">
        <v>0.1129</v>
      </c>
      <c r="ED28" s="31">
        <v>0.1153</v>
      </c>
      <c r="EE28" s="31">
        <v>0.1143</v>
      </c>
    </row>
    <row r="29" spans="1:135" x14ac:dyDescent="0.3">
      <c r="A29" s="31" t="s">
        <v>183</v>
      </c>
      <c r="B29">
        <v>0.11550000000000001</v>
      </c>
      <c r="C29">
        <v>0.10199999999999999</v>
      </c>
      <c r="D29">
        <v>0.1062</v>
      </c>
      <c r="E29">
        <v>0.10440000000000001</v>
      </c>
      <c r="F29">
        <v>0.1265</v>
      </c>
      <c r="G29">
        <v>0</v>
      </c>
      <c r="H29">
        <v>0.1285</v>
      </c>
      <c r="I29">
        <v>0</v>
      </c>
      <c r="J29">
        <v>0</v>
      </c>
      <c r="K29">
        <v>0.12690000000000001</v>
      </c>
      <c r="L29">
        <v>0.1234</v>
      </c>
      <c r="M29">
        <v>0.1215</v>
      </c>
      <c r="N29">
        <v>0</v>
      </c>
      <c r="O29">
        <v>0</v>
      </c>
      <c r="P29">
        <v>0</v>
      </c>
      <c r="Q29">
        <v>0</v>
      </c>
      <c r="R29">
        <v>0.1245</v>
      </c>
      <c r="S29">
        <v>0.1227</v>
      </c>
      <c r="T29">
        <v>0.1268</v>
      </c>
      <c r="U29">
        <v>0.1263</v>
      </c>
      <c r="V29">
        <v>0.12039999999999999</v>
      </c>
      <c r="W29">
        <v>0.12870000000000001</v>
      </c>
      <c r="X29">
        <v>0.1234</v>
      </c>
      <c r="Y29">
        <v>0.12740000000000001</v>
      </c>
      <c r="Z29">
        <v>0.1245</v>
      </c>
      <c r="AA29">
        <v>0.12770000000000001</v>
      </c>
      <c r="AB29">
        <v>0.1275</v>
      </c>
      <c r="AC29">
        <v>0.13059999999999999</v>
      </c>
      <c r="AD29">
        <v>0.1273</v>
      </c>
      <c r="AE29">
        <v>0.12889999999999999</v>
      </c>
      <c r="AF29">
        <v>0.12759999999999999</v>
      </c>
      <c r="AG29">
        <v>0.1293</v>
      </c>
      <c r="AH29">
        <v>0.12670000000000001</v>
      </c>
      <c r="AI29">
        <v>0.12479999999999999</v>
      </c>
      <c r="AJ29">
        <v>0.12770000000000001</v>
      </c>
      <c r="AK29">
        <v>0.1283</v>
      </c>
      <c r="AL29">
        <v>0.12770000000000001</v>
      </c>
      <c r="AM29">
        <v>0.12620000000000001</v>
      </c>
      <c r="AN29">
        <v>0.1235</v>
      </c>
      <c r="AO29">
        <v>0.12529999999999999</v>
      </c>
      <c r="AP29">
        <v>0.12189999999999999</v>
      </c>
      <c r="AQ29">
        <v>0.1273</v>
      </c>
      <c r="AR29">
        <v>0.1211</v>
      </c>
      <c r="AS29">
        <v>0.1211</v>
      </c>
      <c r="AT29">
        <v>0.12590000000000001</v>
      </c>
      <c r="AU29">
        <v>0.12239999999999999</v>
      </c>
      <c r="AV29">
        <v>0.1153</v>
      </c>
      <c r="AW29">
        <v>0</v>
      </c>
      <c r="AX29">
        <v>0.1226</v>
      </c>
      <c r="AY29">
        <v>0.12620000000000001</v>
      </c>
      <c r="AZ29">
        <v>0.12139999999999999</v>
      </c>
      <c r="BA29">
        <v>0.1208</v>
      </c>
      <c r="BB29">
        <v>0</v>
      </c>
      <c r="BC29">
        <v>0.11559999999999999</v>
      </c>
      <c r="BD29">
        <v>0.11550000000000001</v>
      </c>
      <c r="BE29">
        <v>0.11609999999999999</v>
      </c>
      <c r="BF29">
        <v>0</v>
      </c>
      <c r="BG29">
        <v>0.1241</v>
      </c>
      <c r="BH29">
        <v>0.1244</v>
      </c>
      <c r="BI29">
        <v>0.125</v>
      </c>
      <c r="BJ29">
        <v>0.1265</v>
      </c>
      <c r="BK29">
        <v>0.12839999999999999</v>
      </c>
      <c r="BL29">
        <v>0.1283</v>
      </c>
      <c r="BM29">
        <v>0.12429999999999999</v>
      </c>
      <c r="BN29">
        <v>0.1237</v>
      </c>
      <c r="BO29">
        <v>0.1236</v>
      </c>
      <c r="BP29">
        <v>0.1206</v>
      </c>
      <c r="BQ29">
        <v>0.12429999999999999</v>
      </c>
      <c r="BR29">
        <v>0.1178</v>
      </c>
      <c r="BS29">
        <v>0.12590000000000001</v>
      </c>
      <c r="BT29">
        <v>0.1176</v>
      </c>
      <c r="BU29">
        <v>0.1075</v>
      </c>
      <c r="BV29">
        <v>0.12429999999999999</v>
      </c>
      <c r="BW29">
        <v>0.12239999999999999</v>
      </c>
      <c r="BX29" s="31">
        <v>0.1231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0.1174</v>
      </c>
      <c r="CG29" s="31">
        <v>0.1173</v>
      </c>
      <c r="CH29" s="31">
        <v>0.11990000000000001</v>
      </c>
      <c r="CI29" s="31">
        <v>0.11749999999999999</v>
      </c>
      <c r="CJ29" s="31">
        <v>0</v>
      </c>
      <c r="CK29" s="31">
        <v>0</v>
      </c>
      <c r="CL29" s="31">
        <v>0.1137</v>
      </c>
      <c r="CM29" s="31">
        <v>0.1046</v>
      </c>
      <c r="CN29" s="31">
        <v>0</v>
      </c>
      <c r="CO29" s="31">
        <v>0.11600000000000001</v>
      </c>
      <c r="CP29" s="31">
        <v>0.12230000000000001</v>
      </c>
      <c r="CQ29" s="31">
        <v>0.1244</v>
      </c>
      <c r="CR29" s="31">
        <v>0.1075</v>
      </c>
      <c r="CS29" s="31">
        <v>0</v>
      </c>
      <c r="CT29" s="31">
        <v>0.1265</v>
      </c>
      <c r="CU29" s="31">
        <v>0.1216</v>
      </c>
      <c r="CV29" s="31">
        <v>0.12379999999999999</v>
      </c>
      <c r="CW29" s="31">
        <v>0.12379999999999999</v>
      </c>
      <c r="CX29" s="31">
        <v>0.10630000000000001</v>
      </c>
      <c r="CY29" s="31">
        <v>0.12620000000000001</v>
      </c>
      <c r="CZ29" s="31">
        <v>0.1239</v>
      </c>
      <c r="DA29" s="31">
        <v>0.12720000000000001</v>
      </c>
      <c r="DB29" s="31">
        <v>0.1216</v>
      </c>
      <c r="DC29" s="31">
        <v>0.1195</v>
      </c>
      <c r="DD29" s="31">
        <v>0.1206</v>
      </c>
      <c r="DE29" s="31">
        <v>0</v>
      </c>
      <c r="DF29" s="31">
        <v>0</v>
      </c>
      <c r="DG29" s="31">
        <v>0.1234</v>
      </c>
      <c r="DH29" s="31">
        <v>0.1234</v>
      </c>
      <c r="DI29" s="31">
        <v>0.1076</v>
      </c>
      <c r="DJ29" s="31">
        <v>0</v>
      </c>
      <c r="DK29" s="31">
        <v>0.1062</v>
      </c>
      <c r="DL29" s="31">
        <v>0.12809999999999999</v>
      </c>
      <c r="DM29" s="31">
        <v>0</v>
      </c>
      <c r="DN29" s="31">
        <v>0.12859999999999999</v>
      </c>
      <c r="DO29" s="31">
        <v>0.12529999999999999</v>
      </c>
      <c r="DP29" s="31">
        <v>0.1105</v>
      </c>
      <c r="DQ29" s="31">
        <v>0.1265</v>
      </c>
      <c r="DR29" s="31">
        <v>0.1053</v>
      </c>
      <c r="DS29" s="31">
        <v>0.12820000000000001</v>
      </c>
      <c r="DT29" s="31">
        <v>0.125</v>
      </c>
      <c r="DU29" s="31">
        <v>0.12989999999999999</v>
      </c>
      <c r="DV29" s="31">
        <v>0.12609999999999999</v>
      </c>
      <c r="DW29" s="31">
        <v>0.12809999999999999</v>
      </c>
      <c r="DX29" s="31">
        <v>0.1255</v>
      </c>
      <c r="DY29" s="31">
        <v>0.1255</v>
      </c>
      <c r="DZ29" s="31">
        <v>0.12790000000000001</v>
      </c>
      <c r="EA29" s="31">
        <v>0.1278</v>
      </c>
      <c r="EB29" s="31">
        <v>0.12670000000000001</v>
      </c>
      <c r="EC29" s="31">
        <v>0.12180000000000001</v>
      </c>
      <c r="ED29" s="31">
        <v>0.12559999999999999</v>
      </c>
      <c r="EE29" s="31">
        <v>0.1258</v>
      </c>
    </row>
    <row r="30" spans="1:135" x14ac:dyDescent="0.3">
      <c r="A30" s="31" t="s">
        <v>184</v>
      </c>
      <c r="B30">
        <v>0.12740000000000001</v>
      </c>
      <c r="C30">
        <v>0.1321</v>
      </c>
      <c r="D30">
        <v>0</v>
      </c>
      <c r="E30">
        <v>9.8199999999999996E-2</v>
      </c>
      <c r="F30">
        <v>0.1104</v>
      </c>
      <c r="G30">
        <v>0</v>
      </c>
      <c r="H30">
        <v>0</v>
      </c>
      <c r="I30">
        <v>0</v>
      </c>
      <c r="J30">
        <v>0.1225</v>
      </c>
      <c r="K30">
        <v>0.1258</v>
      </c>
      <c r="L30">
        <v>0</v>
      </c>
      <c r="M30">
        <v>0.12540000000000001</v>
      </c>
      <c r="N30">
        <v>0.1166</v>
      </c>
      <c r="O30">
        <v>0</v>
      </c>
      <c r="P30">
        <v>0</v>
      </c>
      <c r="Q30">
        <v>0.1133</v>
      </c>
      <c r="R30">
        <v>0</v>
      </c>
      <c r="S30">
        <v>0.1245</v>
      </c>
      <c r="T30">
        <v>0.1313</v>
      </c>
      <c r="U30">
        <v>0.1331</v>
      </c>
      <c r="V30">
        <v>0.1137</v>
      </c>
      <c r="W30">
        <v>0</v>
      </c>
      <c r="X30">
        <v>0.13650000000000001</v>
      </c>
      <c r="Y30">
        <v>0.12809999999999999</v>
      </c>
      <c r="Z30">
        <v>0.13239999999999999</v>
      </c>
      <c r="AA30">
        <v>0.13400000000000001</v>
      </c>
      <c r="AB30">
        <v>0</v>
      </c>
      <c r="AC30">
        <v>0.13519999999999999</v>
      </c>
      <c r="AD30">
        <v>0.13159999999999999</v>
      </c>
      <c r="AE30">
        <v>0.13730000000000001</v>
      </c>
      <c r="AF30">
        <v>0.13539999999999999</v>
      </c>
      <c r="AG30">
        <v>0</v>
      </c>
      <c r="AH30">
        <v>0.1265</v>
      </c>
      <c r="AI30">
        <v>0.1115</v>
      </c>
      <c r="AJ30">
        <v>0.11700000000000001</v>
      </c>
      <c r="AK30">
        <v>0.13239999999999999</v>
      </c>
      <c r="AL30">
        <v>0</v>
      </c>
      <c r="AM30">
        <v>0.1119</v>
      </c>
      <c r="AN30">
        <v>0</v>
      </c>
      <c r="AO30">
        <v>0</v>
      </c>
      <c r="AP30">
        <v>0.14149999999999999</v>
      </c>
      <c r="AQ30">
        <v>0.1101</v>
      </c>
      <c r="AR30">
        <v>0.13850000000000001</v>
      </c>
      <c r="AS30">
        <v>0.1321</v>
      </c>
      <c r="AT30">
        <v>0</v>
      </c>
      <c r="AU30">
        <v>0.1333</v>
      </c>
      <c r="AV30">
        <v>0.11509999999999999</v>
      </c>
      <c r="AW30">
        <v>0.13189999999999999</v>
      </c>
      <c r="AX30">
        <v>0.1353</v>
      </c>
      <c r="AY30">
        <v>0.14130000000000001</v>
      </c>
      <c r="AZ30">
        <v>0.1303</v>
      </c>
      <c r="BA30">
        <v>0.1351</v>
      </c>
      <c r="BB30">
        <v>0.1331</v>
      </c>
      <c r="BC30">
        <v>0.1341</v>
      </c>
      <c r="BD30">
        <v>0.13400000000000001</v>
      </c>
      <c r="BE30">
        <v>0.13170000000000001</v>
      </c>
      <c r="BF30">
        <v>0.13800000000000001</v>
      </c>
      <c r="BG30">
        <v>0.12809999999999999</v>
      </c>
      <c r="BH30">
        <v>0.13500000000000001</v>
      </c>
      <c r="BI30">
        <v>0.13619999999999999</v>
      </c>
      <c r="BX30" s="31">
        <v>0.12740000000000001</v>
      </c>
      <c r="BY30" s="31">
        <v>0.1321</v>
      </c>
      <c r="BZ30" s="31">
        <v>0</v>
      </c>
      <c r="CA30" s="31">
        <v>9.8199999999999996E-2</v>
      </c>
      <c r="CB30" s="31">
        <v>0.1104</v>
      </c>
      <c r="CC30" s="31">
        <v>0</v>
      </c>
      <c r="CD30" s="31">
        <v>0</v>
      </c>
      <c r="CE30" s="31">
        <v>0</v>
      </c>
      <c r="CF30" s="31">
        <v>0.1225</v>
      </c>
      <c r="CG30" s="31">
        <v>0.1258</v>
      </c>
      <c r="CH30" s="31">
        <v>0</v>
      </c>
      <c r="CI30" s="31">
        <v>0.12540000000000001</v>
      </c>
      <c r="CJ30" s="31">
        <v>0.1166</v>
      </c>
      <c r="CK30" s="31">
        <v>0</v>
      </c>
      <c r="CL30" s="31">
        <v>0</v>
      </c>
      <c r="CM30" s="31">
        <v>0.1133</v>
      </c>
      <c r="CN30" s="31">
        <v>0</v>
      </c>
      <c r="CO30" s="31">
        <v>0.1245</v>
      </c>
      <c r="CP30" s="31">
        <v>0.1313</v>
      </c>
      <c r="CQ30" s="31">
        <v>0.1331</v>
      </c>
      <c r="CR30" s="31">
        <v>0.1137</v>
      </c>
      <c r="CS30" s="31">
        <v>0</v>
      </c>
      <c r="CT30" s="31">
        <v>0.13650000000000001</v>
      </c>
      <c r="CU30" s="31">
        <v>0.12809999999999999</v>
      </c>
      <c r="CV30" s="31">
        <v>0.13239999999999999</v>
      </c>
      <c r="CW30" s="31">
        <v>0.13400000000000001</v>
      </c>
      <c r="CX30" s="31">
        <v>0</v>
      </c>
      <c r="CY30" s="31">
        <v>0.13519999999999999</v>
      </c>
      <c r="CZ30" s="31">
        <v>0.13159999999999999</v>
      </c>
      <c r="DA30" s="31">
        <v>0.13730000000000001</v>
      </c>
      <c r="DB30" s="31">
        <v>0.13539999999999999</v>
      </c>
      <c r="DC30" s="31">
        <v>0</v>
      </c>
      <c r="DD30" s="31">
        <v>0.1265</v>
      </c>
      <c r="DE30" s="31">
        <v>0.1115</v>
      </c>
      <c r="DF30" s="31">
        <v>0.11700000000000001</v>
      </c>
      <c r="DG30" s="31">
        <v>0.13239999999999999</v>
      </c>
      <c r="DH30" s="31">
        <v>0</v>
      </c>
      <c r="DI30" s="31">
        <v>0.1119</v>
      </c>
      <c r="DJ30" s="31">
        <v>0</v>
      </c>
      <c r="DK30" s="31">
        <v>0</v>
      </c>
      <c r="DL30" s="31">
        <v>0.14149999999999999</v>
      </c>
      <c r="DM30" s="31">
        <v>0.1101</v>
      </c>
      <c r="DN30" s="31">
        <v>0.13850000000000001</v>
      </c>
      <c r="DO30" s="31">
        <v>0.1321</v>
      </c>
      <c r="DP30" s="31">
        <v>0</v>
      </c>
      <c r="DQ30" s="31">
        <v>0.1333</v>
      </c>
      <c r="DR30" s="31">
        <v>0.11509999999999999</v>
      </c>
      <c r="DS30" s="31">
        <v>0.13189999999999999</v>
      </c>
      <c r="DT30" s="31">
        <v>0.1353</v>
      </c>
      <c r="DU30" s="31">
        <v>0.14130000000000001</v>
      </c>
      <c r="DV30" s="31">
        <v>0.1303</v>
      </c>
      <c r="DW30" s="31">
        <v>0.1351</v>
      </c>
      <c r="DX30" s="31">
        <v>0.1331</v>
      </c>
      <c r="DY30" s="31">
        <v>0.1341</v>
      </c>
      <c r="DZ30" s="31">
        <v>0.13400000000000001</v>
      </c>
      <c r="EA30" s="31">
        <v>0.13170000000000001</v>
      </c>
      <c r="EB30" s="31">
        <v>0.13800000000000001</v>
      </c>
      <c r="EC30" s="31">
        <v>0.12809999999999999</v>
      </c>
      <c r="ED30" s="31">
        <v>0.13500000000000001</v>
      </c>
      <c r="EE30" s="31">
        <v>0.13619999999999999</v>
      </c>
    </row>
    <row r="31" spans="1:135" x14ac:dyDescent="0.3">
      <c r="A31" s="31" t="s">
        <v>185</v>
      </c>
      <c r="B31">
        <v>0.1072</v>
      </c>
      <c r="C31">
        <v>0.11700000000000001</v>
      </c>
      <c r="D31">
        <v>0.1031</v>
      </c>
      <c r="E31">
        <v>0</v>
      </c>
      <c r="F31">
        <v>0</v>
      </c>
      <c r="G31">
        <v>8.2000000000000003E-2</v>
      </c>
      <c r="H31">
        <v>0</v>
      </c>
      <c r="I31">
        <v>0.1174</v>
      </c>
      <c r="J31">
        <v>9.9699999999999997E-2</v>
      </c>
      <c r="K31">
        <v>0.1139</v>
      </c>
      <c r="L31">
        <v>0.11169999999999999</v>
      </c>
      <c r="M31">
        <v>0.11260000000000001</v>
      </c>
      <c r="N31">
        <v>8.3599999999999994E-2</v>
      </c>
      <c r="O31">
        <v>0.10920000000000001</v>
      </c>
      <c r="P31">
        <v>0.1</v>
      </c>
      <c r="Q31" t="s">
        <v>160</v>
      </c>
      <c r="R31">
        <v>0.1072</v>
      </c>
      <c r="S31">
        <v>0.1075</v>
      </c>
      <c r="T31">
        <v>9.3100000000000002E-2</v>
      </c>
      <c r="U31">
        <v>9.5600000000000004E-2</v>
      </c>
      <c r="V31">
        <v>0</v>
      </c>
      <c r="W31">
        <v>7.1199999999999999E-2</v>
      </c>
      <c r="X31">
        <v>8.9800000000000005E-2</v>
      </c>
      <c r="Y31">
        <v>8.6499999999999994E-2</v>
      </c>
      <c r="Z31">
        <v>8.9800000000000005E-2</v>
      </c>
      <c r="AA31">
        <v>9.8400000000000001E-2</v>
      </c>
      <c r="AB31">
        <v>0</v>
      </c>
      <c r="AC31">
        <v>8.6400000000000005E-2</v>
      </c>
      <c r="AD31">
        <v>9.4700000000000006E-2</v>
      </c>
      <c r="AE31">
        <v>9.11E-2</v>
      </c>
      <c r="AF31">
        <v>9.7699999999999995E-2</v>
      </c>
      <c r="AG31">
        <v>0.105</v>
      </c>
      <c r="AH31">
        <v>0.1072</v>
      </c>
      <c r="AI31">
        <v>7.8799999999999995E-2</v>
      </c>
      <c r="AJ31">
        <v>0</v>
      </c>
      <c r="AK31">
        <v>0.11169999999999999</v>
      </c>
      <c r="AL31">
        <v>0.1074</v>
      </c>
      <c r="AM31">
        <v>7.9500000000000001E-2</v>
      </c>
      <c r="AN31">
        <v>0.1076</v>
      </c>
      <c r="AO31">
        <v>8.8599999999999998E-2</v>
      </c>
      <c r="AP31">
        <v>8.8200000000000001E-2</v>
      </c>
      <c r="AQ31">
        <v>6.2199999999999998E-2</v>
      </c>
      <c r="AR31">
        <v>8.6199999999999999E-2</v>
      </c>
      <c r="AS31">
        <v>9.1700000000000004E-2</v>
      </c>
      <c r="AT31">
        <v>0</v>
      </c>
      <c r="AU31">
        <v>9.69E-2</v>
      </c>
      <c r="AV31">
        <v>0</v>
      </c>
      <c r="AW31">
        <v>9.4200000000000006E-2</v>
      </c>
      <c r="AX31">
        <v>8.9800000000000005E-2</v>
      </c>
      <c r="AY31">
        <v>8.8700000000000001E-2</v>
      </c>
      <c r="AZ31">
        <v>8.4599999999999995E-2</v>
      </c>
      <c r="BA31">
        <v>9.0899999999999995E-2</v>
      </c>
      <c r="BB31">
        <v>8.9700000000000002E-2</v>
      </c>
      <c r="BC31">
        <v>9.1700000000000004E-2</v>
      </c>
      <c r="BD31">
        <v>9.1800000000000007E-2</v>
      </c>
      <c r="BE31">
        <v>9.7500000000000003E-2</v>
      </c>
      <c r="BF31">
        <v>9.5399999999999999E-2</v>
      </c>
      <c r="BG31">
        <v>9.2899999999999996E-2</v>
      </c>
      <c r="BH31">
        <v>8.8400000000000006E-2</v>
      </c>
      <c r="BI31">
        <v>9.4E-2</v>
      </c>
      <c r="BX31" s="31">
        <v>0.1072</v>
      </c>
      <c r="BY31" s="31">
        <v>0.11700000000000001</v>
      </c>
      <c r="BZ31" s="31">
        <v>0.1031</v>
      </c>
      <c r="CA31" s="31">
        <v>0</v>
      </c>
      <c r="CB31" s="31">
        <v>0</v>
      </c>
      <c r="CC31" s="31">
        <v>8.2000000000000003E-2</v>
      </c>
      <c r="CD31" s="31">
        <v>0</v>
      </c>
      <c r="CE31" s="31">
        <v>0.1174</v>
      </c>
      <c r="CF31" s="31">
        <v>9.9699999999999997E-2</v>
      </c>
      <c r="CG31" s="31">
        <v>0.1139</v>
      </c>
      <c r="CH31" s="31">
        <v>0.11169999999999999</v>
      </c>
      <c r="CI31" s="31">
        <v>0.11260000000000001</v>
      </c>
      <c r="CJ31" s="31">
        <v>8.3599999999999994E-2</v>
      </c>
      <c r="CK31" s="31">
        <v>0.10920000000000001</v>
      </c>
      <c r="CL31" s="31">
        <v>0.1</v>
      </c>
      <c r="CM31" s="31" t="s">
        <v>160</v>
      </c>
      <c r="CN31" s="31">
        <v>0.1072</v>
      </c>
      <c r="CO31" s="31">
        <v>0.1075</v>
      </c>
      <c r="CP31" s="31">
        <v>9.3100000000000002E-2</v>
      </c>
      <c r="CQ31" s="31">
        <v>9.5600000000000004E-2</v>
      </c>
      <c r="CR31" s="31">
        <v>0</v>
      </c>
      <c r="CS31" s="31">
        <v>7.1199999999999999E-2</v>
      </c>
      <c r="CT31" s="31">
        <v>8.9800000000000005E-2</v>
      </c>
      <c r="CU31" s="31">
        <v>8.6499999999999994E-2</v>
      </c>
      <c r="CV31" s="31">
        <v>8.9800000000000005E-2</v>
      </c>
      <c r="CW31" s="31">
        <v>9.8400000000000001E-2</v>
      </c>
      <c r="CX31" s="31">
        <v>0</v>
      </c>
      <c r="CY31" s="31">
        <v>8.6400000000000005E-2</v>
      </c>
      <c r="CZ31" s="31">
        <v>9.4700000000000006E-2</v>
      </c>
      <c r="DA31" s="31">
        <v>9.11E-2</v>
      </c>
      <c r="DB31" s="31">
        <v>9.7699999999999995E-2</v>
      </c>
      <c r="DC31" s="31">
        <v>0.105</v>
      </c>
      <c r="DD31" s="31">
        <v>0.1072</v>
      </c>
      <c r="DE31" s="31">
        <v>7.8799999999999995E-2</v>
      </c>
      <c r="DF31" s="31">
        <v>0</v>
      </c>
      <c r="DG31" s="31">
        <v>0.11169999999999999</v>
      </c>
      <c r="DH31" s="31">
        <v>0.1074</v>
      </c>
      <c r="DI31" s="31">
        <v>7.9500000000000001E-2</v>
      </c>
      <c r="DJ31" s="31">
        <v>0.1076</v>
      </c>
      <c r="DK31" s="31">
        <v>8.8599999999999998E-2</v>
      </c>
      <c r="DL31" s="31">
        <v>8.8200000000000001E-2</v>
      </c>
      <c r="DM31" s="31">
        <v>6.2199999999999998E-2</v>
      </c>
      <c r="DN31" s="31">
        <v>8.6199999999999999E-2</v>
      </c>
      <c r="DO31" s="31">
        <v>9.1700000000000004E-2</v>
      </c>
      <c r="DP31" s="31">
        <v>0</v>
      </c>
      <c r="DQ31" s="31">
        <v>9.69E-2</v>
      </c>
      <c r="DR31" s="31">
        <v>0</v>
      </c>
      <c r="DS31" s="31">
        <v>9.4200000000000006E-2</v>
      </c>
      <c r="DT31" s="31">
        <v>8.9800000000000005E-2</v>
      </c>
      <c r="DU31" s="31">
        <v>8.8700000000000001E-2</v>
      </c>
      <c r="DV31" s="31">
        <v>8.4599999999999995E-2</v>
      </c>
      <c r="DW31" s="31">
        <v>9.0899999999999995E-2</v>
      </c>
      <c r="DX31" s="31">
        <v>8.9700000000000002E-2</v>
      </c>
      <c r="DY31" s="31">
        <v>9.1700000000000004E-2</v>
      </c>
      <c r="DZ31" s="31">
        <v>9.1800000000000007E-2</v>
      </c>
      <c r="EA31" s="31">
        <v>9.7500000000000003E-2</v>
      </c>
      <c r="EB31" s="31">
        <v>9.5399999999999999E-2</v>
      </c>
      <c r="EC31" s="31">
        <v>9.2899999999999996E-2</v>
      </c>
      <c r="ED31" s="31">
        <v>8.8400000000000006E-2</v>
      </c>
      <c r="EE31" s="31">
        <v>9.4E-2</v>
      </c>
    </row>
    <row r="32" spans="1:135" x14ac:dyDescent="0.3">
      <c r="A32" s="31" t="s">
        <v>186</v>
      </c>
      <c r="B32">
        <v>5.57E-2</v>
      </c>
      <c r="C32">
        <v>5.0700000000000002E-2</v>
      </c>
      <c r="D32">
        <v>5.33E-2</v>
      </c>
      <c r="E32">
        <v>5.5599999999999997E-2</v>
      </c>
      <c r="F32">
        <v>8.09E-2</v>
      </c>
      <c r="G32">
        <v>8.2199999999999995E-2</v>
      </c>
      <c r="H32">
        <v>8.6599999999999996E-2</v>
      </c>
      <c r="I32">
        <v>8.8700000000000001E-2</v>
      </c>
      <c r="J32">
        <v>8.09E-2</v>
      </c>
      <c r="K32">
        <v>8.0799999999999997E-2</v>
      </c>
      <c r="L32">
        <v>7.9399999999999998E-2</v>
      </c>
      <c r="M32">
        <v>6.1699999999999998E-2</v>
      </c>
      <c r="N32">
        <v>6.4399999999999999E-2</v>
      </c>
      <c r="O32">
        <v>6.1199999999999997E-2</v>
      </c>
      <c r="P32">
        <v>8.3900000000000002E-2</v>
      </c>
      <c r="Q32">
        <v>6.4199999999999993E-2</v>
      </c>
      <c r="R32">
        <v>6.4600000000000005E-2</v>
      </c>
      <c r="S32">
        <v>6.3E-2</v>
      </c>
      <c r="T32">
        <v>6.5699999999999995E-2</v>
      </c>
      <c r="U32">
        <v>6.9099999999999995E-2</v>
      </c>
      <c r="V32">
        <v>6.5100000000000005E-2</v>
      </c>
      <c r="W32">
        <v>6.7799999999999999E-2</v>
      </c>
      <c r="X32">
        <v>6.6100000000000006E-2</v>
      </c>
      <c r="Y32">
        <v>7.0499999999999993E-2</v>
      </c>
      <c r="Z32">
        <v>6.6100000000000006E-2</v>
      </c>
      <c r="AA32">
        <v>6.7000000000000004E-2</v>
      </c>
      <c r="AB32">
        <v>6.3200000000000006E-2</v>
      </c>
      <c r="AC32">
        <v>6.4299999999999996E-2</v>
      </c>
      <c r="AD32">
        <v>6.3700000000000007E-2</v>
      </c>
      <c r="AE32">
        <v>6.9199999999999998E-2</v>
      </c>
      <c r="AF32">
        <v>6.4899999999999999E-2</v>
      </c>
      <c r="AG32">
        <v>6.8199999999999997E-2</v>
      </c>
      <c r="AH32">
        <v>6.6199999999999995E-2</v>
      </c>
      <c r="AI32">
        <v>6.6100000000000006E-2</v>
      </c>
      <c r="AJ32">
        <v>6.8400000000000002E-2</v>
      </c>
      <c r="AK32">
        <v>6.8000000000000005E-2</v>
      </c>
      <c r="AL32">
        <v>7.1400000000000005E-2</v>
      </c>
      <c r="AM32">
        <v>6.9900000000000004E-2</v>
      </c>
      <c r="AN32">
        <v>6.9800000000000001E-2</v>
      </c>
      <c r="AO32">
        <v>6.8099999999999994E-2</v>
      </c>
      <c r="AP32">
        <v>6.88E-2</v>
      </c>
      <c r="AQ32">
        <v>6.6799999999999998E-2</v>
      </c>
      <c r="AR32">
        <v>7.0800000000000002E-2</v>
      </c>
      <c r="AS32">
        <v>6.8199999999999997E-2</v>
      </c>
      <c r="AT32">
        <v>6.7299999999999999E-2</v>
      </c>
      <c r="AU32">
        <v>6.4699999999999994E-2</v>
      </c>
      <c r="AV32">
        <v>0</v>
      </c>
      <c r="AW32">
        <v>6.3899999999999998E-2</v>
      </c>
      <c r="AX32">
        <v>6.8000000000000005E-2</v>
      </c>
      <c r="AY32">
        <v>6.88E-2</v>
      </c>
      <c r="AZ32">
        <v>6.9500000000000006E-2</v>
      </c>
      <c r="BA32">
        <v>6.25E-2</v>
      </c>
      <c r="BB32">
        <v>6.9500000000000006E-2</v>
      </c>
      <c r="BC32">
        <v>0</v>
      </c>
      <c r="BD32">
        <v>6.5699999999999995E-2</v>
      </c>
      <c r="BE32">
        <v>0</v>
      </c>
      <c r="BF32">
        <v>6.7000000000000004E-2</v>
      </c>
      <c r="BG32">
        <v>7.0900000000000005E-2</v>
      </c>
      <c r="BH32">
        <v>6.6699999999999995E-2</v>
      </c>
      <c r="BI32">
        <v>7.0300000000000001E-2</v>
      </c>
      <c r="BJ32">
        <v>7.0000000000000007E-2</v>
      </c>
      <c r="BK32">
        <v>6.8099999999999994E-2</v>
      </c>
      <c r="BL32">
        <v>6.5799999999999997E-2</v>
      </c>
      <c r="BM32">
        <v>6.8199999999999997E-2</v>
      </c>
      <c r="BN32">
        <v>6.8599999999999994E-2</v>
      </c>
      <c r="BO32">
        <v>6.8500000000000005E-2</v>
      </c>
      <c r="BP32">
        <v>6.6600000000000006E-2</v>
      </c>
      <c r="BQ32">
        <v>7.0499999999999993E-2</v>
      </c>
      <c r="BR32">
        <v>6.4899999999999999E-2</v>
      </c>
      <c r="BS32">
        <v>6.9400000000000003E-2</v>
      </c>
      <c r="BT32">
        <v>6.4500000000000002E-2</v>
      </c>
      <c r="BU32">
        <v>5.7700000000000001E-2</v>
      </c>
      <c r="BV32">
        <v>6.9000000000000006E-2</v>
      </c>
      <c r="BW32">
        <v>6.6799999999999998E-2</v>
      </c>
      <c r="BX32" s="31">
        <v>8.5599999999999996E-2</v>
      </c>
      <c r="BY32" s="31">
        <v>8.9300000000000004E-2</v>
      </c>
      <c r="BZ32" s="31">
        <v>8.2100000000000006E-2</v>
      </c>
      <c r="CA32" s="31">
        <v>0</v>
      </c>
      <c r="CB32" s="31">
        <v>5.6500000000000002E-2</v>
      </c>
      <c r="CC32" s="31">
        <v>5.8299999999999998E-2</v>
      </c>
      <c r="CD32" s="31">
        <v>6.0900000000000003E-2</v>
      </c>
      <c r="CE32" s="31">
        <v>8.5800000000000001E-2</v>
      </c>
      <c r="CF32" s="31">
        <v>8.1799999999999998E-2</v>
      </c>
      <c r="CG32" s="31">
        <v>8.1199999999999994E-2</v>
      </c>
      <c r="CH32" s="31">
        <v>8.4400000000000003E-2</v>
      </c>
      <c r="CI32" s="31">
        <v>8.4699999999999998E-2</v>
      </c>
      <c r="CJ32" s="31">
        <v>6.08E-2</v>
      </c>
      <c r="CK32" s="31">
        <v>8.5199999999999998E-2</v>
      </c>
      <c r="CL32" s="31">
        <v>7.7399999999999997E-2</v>
      </c>
      <c r="CM32" s="31">
        <v>5.3699999999999998E-2</v>
      </c>
      <c r="CN32" s="31">
        <v>8.6499999999999994E-2</v>
      </c>
      <c r="CO32" s="31">
        <v>0.08</v>
      </c>
      <c r="CP32" s="31">
        <v>6.7299999999999999E-2</v>
      </c>
      <c r="CQ32" s="31">
        <v>6.7599999999999993E-2</v>
      </c>
      <c r="CR32" s="31">
        <v>6.1100000000000002E-2</v>
      </c>
      <c r="CS32" s="31">
        <v>5.7000000000000002E-2</v>
      </c>
      <c r="CT32" s="31">
        <v>6.7199999999999996E-2</v>
      </c>
      <c r="CU32" s="31">
        <v>6.0199999999999997E-2</v>
      </c>
      <c r="CV32" s="31">
        <v>6.9400000000000003E-2</v>
      </c>
      <c r="CW32" s="31">
        <v>6.7199999999999996E-2</v>
      </c>
      <c r="CX32" s="31">
        <v>6.0499999999999998E-2</v>
      </c>
      <c r="CY32" s="31">
        <v>6.8699999999999997E-2</v>
      </c>
      <c r="CZ32" s="31">
        <v>6.7400000000000002E-2</v>
      </c>
      <c r="DA32" s="31">
        <v>7.0300000000000001E-2</v>
      </c>
      <c r="DB32" s="31">
        <v>6.5299999999999997E-2</v>
      </c>
      <c r="DC32" s="31">
        <v>8.2900000000000001E-2</v>
      </c>
      <c r="DD32" s="31">
        <v>8.1100000000000005E-2</v>
      </c>
      <c r="DE32" s="31">
        <v>0</v>
      </c>
      <c r="DF32" s="31">
        <v>5.8200000000000002E-2</v>
      </c>
      <c r="DG32" s="31">
        <v>8.6199999999999999E-2</v>
      </c>
      <c r="DH32" s="31">
        <v>8.2799999999999999E-2</v>
      </c>
      <c r="DI32" s="31">
        <v>5.7200000000000001E-2</v>
      </c>
      <c r="DJ32" s="31">
        <v>7.7700000000000005E-2</v>
      </c>
      <c r="DK32" s="31">
        <v>0</v>
      </c>
      <c r="DL32" s="31">
        <v>6.54E-2</v>
      </c>
      <c r="DM32" s="31">
        <v>5.4399999999999997E-2</v>
      </c>
      <c r="DN32" s="31">
        <v>6.4699999999999994E-2</v>
      </c>
      <c r="DO32" s="31">
        <v>6.3299999999999995E-2</v>
      </c>
      <c r="DP32" s="31">
        <v>5.8700000000000002E-2</v>
      </c>
      <c r="DQ32" s="31">
        <v>6.3500000000000001E-2</v>
      </c>
      <c r="DR32" s="31">
        <v>5.6300000000000003E-2</v>
      </c>
      <c r="DS32" s="31">
        <v>6.8500000000000005E-2</v>
      </c>
      <c r="DT32" s="31">
        <v>6.7699999999999996E-2</v>
      </c>
      <c r="DU32" s="31">
        <v>6.9199999999999998E-2</v>
      </c>
      <c r="DV32" s="31">
        <v>6.5699999999999995E-2</v>
      </c>
      <c r="DW32" s="31">
        <v>7.1900000000000006E-2</v>
      </c>
      <c r="DX32" s="31">
        <v>6.7799999999999999E-2</v>
      </c>
      <c r="DY32" s="31">
        <v>6.7799999999999999E-2</v>
      </c>
      <c r="DZ32" s="31">
        <v>6.8699999999999997E-2</v>
      </c>
      <c r="EA32" s="31">
        <v>7.0900000000000005E-2</v>
      </c>
      <c r="EB32" s="31">
        <v>7.0699999999999999E-2</v>
      </c>
      <c r="EC32" s="31">
        <v>6.8500000000000005E-2</v>
      </c>
      <c r="ED32" s="31">
        <v>6.8900000000000003E-2</v>
      </c>
      <c r="EE32" s="31">
        <v>6.6500000000000004E-2</v>
      </c>
    </row>
    <row r="33" spans="1:135" x14ac:dyDescent="0.3">
      <c r="A33" s="31" t="s">
        <v>187</v>
      </c>
      <c r="B33">
        <v>8.3199999999999996E-2</v>
      </c>
      <c r="C33">
        <v>8.2100000000000006E-2</v>
      </c>
      <c r="D33">
        <v>8.3699999999999997E-2</v>
      </c>
      <c r="E33">
        <v>7.6999999999999999E-2</v>
      </c>
      <c r="F33">
        <v>9.5000000000000001E-2</v>
      </c>
      <c r="G33">
        <v>8.9099999999999999E-2</v>
      </c>
      <c r="H33">
        <v>9.5399999999999999E-2</v>
      </c>
      <c r="I33">
        <v>9.98E-2</v>
      </c>
      <c r="J33">
        <v>9.0800000000000006E-2</v>
      </c>
      <c r="K33">
        <v>9.35E-2</v>
      </c>
      <c r="L33">
        <v>8.6199999999999999E-2</v>
      </c>
      <c r="M33">
        <v>0.1101</v>
      </c>
      <c r="N33">
        <v>0.1183</v>
      </c>
      <c r="O33">
        <v>0.1212</v>
      </c>
      <c r="P33">
        <v>0.1027</v>
      </c>
      <c r="Q33">
        <v>0.11269999999999999</v>
      </c>
      <c r="R33">
        <v>9.1499999999999998E-2</v>
      </c>
      <c r="S33">
        <v>8.9099999999999999E-2</v>
      </c>
      <c r="T33">
        <v>9.1899999999999996E-2</v>
      </c>
      <c r="U33">
        <v>9.1899999999999996E-2</v>
      </c>
      <c r="V33">
        <v>8.6900000000000005E-2</v>
      </c>
      <c r="W33">
        <v>8.9700000000000002E-2</v>
      </c>
      <c r="X33">
        <v>8.8700000000000001E-2</v>
      </c>
      <c r="Y33">
        <v>8.6800000000000002E-2</v>
      </c>
      <c r="Z33">
        <v>8.9599999999999999E-2</v>
      </c>
      <c r="AA33">
        <v>8.7599999999999997E-2</v>
      </c>
      <c r="AB33">
        <v>8.9599999999999999E-2</v>
      </c>
      <c r="AC33">
        <v>8.9700000000000002E-2</v>
      </c>
      <c r="AD33">
        <v>8.8700000000000001E-2</v>
      </c>
      <c r="AE33">
        <v>8.9800000000000005E-2</v>
      </c>
      <c r="AF33">
        <v>8.9300000000000004E-2</v>
      </c>
      <c r="AG33">
        <v>9.5500000000000002E-2</v>
      </c>
      <c r="AH33">
        <v>8.8400000000000006E-2</v>
      </c>
      <c r="AI33">
        <v>9.0800000000000006E-2</v>
      </c>
      <c r="AJ33">
        <v>9.0300000000000005E-2</v>
      </c>
      <c r="AK33">
        <v>0.09</v>
      </c>
      <c r="AL33">
        <v>8.6900000000000005E-2</v>
      </c>
      <c r="AM33">
        <v>9.0899999999999995E-2</v>
      </c>
      <c r="AN33">
        <v>9.3600000000000003E-2</v>
      </c>
      <c r="AO33">
        <v>0.09</v>
      </c>
      <c r="AP33">
        <v>9.2700000000000005E-2</v>
      </c>
      <c r="AQ33">
        <v>8.9899999999999994E-2</v>
      </c>
      <c r="AR33">
        <v>9.5200000000000007E-2</v>
      </c>
      <c r="AS33">
        <v>8.6099999999999996E-2</v>
      </c>
      <c r="AT33">
        <v>9.5899999999999999E-2</v>
      </c>
      <c r="AU33">
        <v>9.0700000000000003E-2</v>
      </c>
      <c r="AV33">
        <v>9.3299999999999994E-2</v>
      </c>
      <c r="AW33">
        <v>0</v>
      </c>
      <c r="AX33">
        <v>9.0899999999999995E-2</v>
      </c>
      <c r="AY33">
        <v>9.2200000000000004E-2</v>
      </c>
      <c r="AZ33">
        <v>8.9300000000000004E-2</v>
      </c>
      <c r="BA33">
        <v>8.6900000000000005E-2</v>
      </c>
      <c r="BB33">
        <v>9.2499999999999999E-2</v>
      </c>
      <c r="BC33">
        <v>9.0399999999999994E-2</v>
      </c>
      <c r="BD33">
        <v>9.1700000000000004E-2</v>
      </c>
      <c r="BE33">
        <v>9.1200000000000003E-2</v>
      </c>
      <c r="BF33">
        <v>8.7400000000000005E-2</v>
      </c>
      <c r="BG33">
        <v>9.4399999999999998E-2</v>
      </c>
      <c r="BH33">
        <v>9.1399999999999995E-2</v>
      </c>
      <c r="BI33">
        <v>9.1399999999999995E-2</v>
      </c>
      <c r="BJ33">
        <v>0.09</v>
      </c>
      <c r="BK33">
        <v>9.1300000000000006E-2</v>
      </c>
      <c r="BL33">
        <v>9.2299999999999993E-2</v>
      </c>
      <c r="BM33">
        <v>9.0899999999999995E-2</v>
      </c>
      <c r="BN33">
        <v>8.8200000000000001E-2</v>
      </c>
      <c r="BO33">
        <v>9.1399999999999995E-2</v>
      </c>
      <c r="BP33">
        <v>9.2600000000000002E-2</v>
      </c>
      <c r="BQ33">
        <v>9.1499999999999998E-2</v>
      </c>
      <c r="BR33">
        <v>8.4500000000000006E-2</v>
      </c>
      <c r="BS33">
        <v>9.2299999999999993E-2</v>
      </c>
      <c r="BT33">
        <v>8.1299999999999997E-2</v>
      </c>
      <c r="BU33">
        <v>7.8600000000000003E-2</v>
      </c>
      <c r="BV33">
        <v>9.4600000000000004E-2</v>
      </c>
      <c r="BW33">
        <v>8.8700000000000001E-2</v>
      </c>
      <c r="BX33" s="31">
        <v>9.5799999999999996E-2</v>
      </c>
      <c r="BY33" s="31">
        <v>0.1003</v>
      </c>
      <c r="BZ33" s="31">
        <v>9.6699999999999994E-2</v>
      </c>
      <c r="CA33" s="31">
        <v>7.1800000000000003E-2</v>
      </c>
      <c r="CB33" s="31">
        <v>8.1500000000000003E-2</v>
      </c>
      <c r="CC33" s="31">
        <v>8.3400000000000002E-2</v>
      </c>
      <c r="CD33" s="31">
        <v>7.9399999999999998E-2</v>
      </c>
      <c r="CE33" s="31">
        <v>9.6100000000000005E-2</v>
      </c>
      <c r="CF33" s="31">
        <v>9.8100000000000007E-2</v>
      </c>
      <c r="CG33" s="31">
        <v>9.2799999999999994E-2</v>
      </c>
      <c r="CH33" s="31">
        <v>9.2299999999999993E-2</v>
      </c>
      <c r="CI33" s="31">
        <v>9.9199999999999997E-2</v>
      </c>
      <c r="CJ33" s="31">
        <v>8.3900000000000002E-2</v>
      </c>
      <c r="CK33" s="31">
        <v>9.7199999999999995E-2</v>
      </c>
      <c r="CL33" s="31">
        <v>9.35E-2</v>
      </c>
      <c r="CM33" s="31">
        <v>7.9899999999999999E-2</v>
      </c>
      <c r="CN33" s="31">
        <v>9.8299999999999998E-2</v>
      </c>
      <c r="CO33" s="31">
        <v>9.6799999999999997E-2</v>
      </c>
      <c r="CP33" s="31">
        <v>9.3200000000000005E-2</v>
      </c>
      <c r="CQ33" s="31">
        <v>9.4700000000000006E-2</v>
      </c>
      <c r="CR33" s="31">
        <v>7.7899999999999997E-2</v>
      </c>
      <c r="CS33" s="31">
        <v>7.6100000000000001E-2</v>
      </c>
      <c r="CT33" s="31">
        <v>9.11E-2</v>
      </c>
      <c r="CU33" s="31">
        <v>8.4699999999999998E-2</v>
      </c>
      <c r="CV33" s="31">
        <v>9.5699999999999993E-2</v>
      </c>
      <c r="CW33" s="31">
        <v>9.1399999999999995E-2</v>
      </c>
      <c r="CX33" s="31">
        <v>0</v>
      </c>
      <c r="CY33" s="31">
        <v>9.2799999999999994E-2</v>
      </c>
      <c r="CZ33" s="31">
        <v>9.1300000000000006E-2</v>
      </c>
      <c r="DA33" s="31">
        <v>9.3299999999999994E-2</v>
      </c>
      <c r="DB33" s="31">
        <v>9.3399999999999997E-2</v>
      </c>
      <c r="DC33" s="31">
        <v>9.5399999999999999E-2</v>
      </c>
      <c r="DD33" s="31">
        <v>9.5399999999999999E-2</v>
      </c>
      <c r="DE33" s="31">
        <v>8.2699999999999996E-2</v>
      </c>
      <c r="DF33" s="31">
        <v>8.1699999999999995E-2</v>
      </c>
      <c r="DG33" s="31">
        <v>9.4500000000000001E-2</v>
      </c>
      <c r="DH33" s="31">
        <v>9.9199999999999997E-2</v>
      </c>
      <c r="DI33" s="31">
        <v>8.2400000000000001E-2</v>
      </c>
      <c r="DJ33" s="31">
        <v>9.3799999999999994E-2</v>
      </c>
      <c r="DK33" s="31">
        <v>8.5300000000000001E-2</v>
      </c>
      <c r="DL33" s="31">
        <v>8.4900000000000003E-2</v>
      </c>
      <c r="DM33" s="31">
        <v>7.2800000000000004E-2</v>
      </c>
      <c r="DN33" s="31">
        <v>9.0399999999999994E-2</v>
      </c>
      <c r="DO33" s="31">
        <v>9.11E-2</v>
      </c>
      <c r="DP33" s="31">
        <v>7.8700000000000006E-2</v>
      </c>
      <c r="DQ33" s="31">
        <v>9.0800000000000006E-2</v>
      </c>
      <c r="DR33" s="31">
        <v>7.7100000000000002E-2</v>
      </c>
      <c r="DS33" s="31">
        <v>9.3799999999999994E-2</v>
      </c>
      <c r="DT33" s="31">
        <v>8.8999999999999996E-2</v>
      </c>
      <c r="DU33" s="31">
        <v>9.5899999999999999E-2</v>
      </c>
      <c r="DV33" s="31">
        <v>9.0899999999999995E-2</v>
      </c>
      <c r="DW33" s="31">
        <v>9.7600000000000006E-2</v>
      </c>
      <c r="DX33" s="31">
        <v>9.5299999999999996E-2</v>
      </c>
      <c r="DY33" s="31">
        <v>8.8099999999999998E-2</v>
      </c>
      <c r="DZ33" s="31">
        <v>8.8999999999999996E-2</v>
      </c>
      <c r="EA33" s="31">
        <v>9.1999999999999998E-2</v>
      </c>
      <c r="EB33" s="31">
        <v>9.1399999999999995E-2</v>
      </c>
      <c r="EC33" s="31">
        <v>9.4299999999999995E-2</v>
      </c>
      <c r="ED33" s="31">
        <v>9.2600000000000002E-2</v>
      </c>
      <c r="EE33" s="31">
        <v>9.0399999999999994E-2</v>
      </c>
    </row>
    <row r="34" spans="1:135" x14ac:dyDescent="0.3">
      <c r="A34" s="31" t="s">
        <v>0</v>
      </c>
      <c r="B34">
        <v>0.30890000000000001</v>
      </c>
      <c r="C34">
        <v>0.28949999999999998</v>
      </c>
      <c r="D34">
        <v>0.22750000000000001</v>
      </c>
      <c r="E34">
        <v>0.2676</v>
      </c>
      <c r="F34">
        <v>0.2172</v>
      </c>
      <c r="G34">
        <v>0.24260000000000001</v>
      </c>
      <c r="H34">
        <v>0.2354</v>
      </c>
      <c r="I34">
        <v>0.2437</v>
      </c>
      <c r="J34">
        <v>0.21099999999999999</v>
      </c>
      <c r="K34">
        <v>0.26889999999999997</v>
      </c>
      <c r="L34">
        <v>0.2109</v>
      </c>
      <c r="M34">
        <v>0.19170000000000001</v>
      </c>
      <c r="N34">
        <v>0.21940000000000001</v>
      </c>
      <c r="O34">
        <v>0</v>
      </c>
      <c r="P34">
        <v>0.20749999999999999</v>
      </c>
      <c r="Q34">
        <v>0.2056</v>
      </c>
      <c r="R34">
        <v>0.2581</v>
      </c>
      <c r="S34">
        <v>0.20180000000000001</v>
      </c>
      <c r="T34">
        <v>0.245</v>
      </c>
      <c r="U34">
        <v>0.21360000000000001</v>
      </c>
      <c r="V34">
        <v>0.19620000000000001</v>
      </c>
      <c r="W34">
        <v>0.2311</v>
      </c>
      <c r="X34">
        <v>0.20300000000000001</v>
      </c>
      <c r="Y34">
        <v>0.1802</v>
      </c>
      <c r="Z34">
        <v>0.20730000000000001</v>
      </c>
      <c r="AA34">
        <v>0.2364</v>
      </c>
      <c r="AB34">
        <v>0.2591</v>
      </c>
      <c r="AC34">
        <v>0.21340000000000001</v>
      </c>
      <c r="AD34">
        <v>0.20330000000000001</v>
      </c>
      <c r="AE34">
        <v>0.24030000000000001</v>
      </c>
      <c r="AF34">
        <v>0.25169999999999998</v>
      </c>
      <c r="AG34">
        <v>0.21229999999999999</v>
      </c>
      <c r="AH34">
        <v>0.25209999999999999</v>
      </c>
      <c r="AI34">
        <v>0.21410000000000001</v>
      </c>
      <c r="AJ34">
        <v>0.25419999999999998</v>
      </c>
      <c r="AK34">
        <v>0.247</v>
      </c>
      <c r="AL34">
        <v>0.2394</v>
      </c>
      <c r="AM34">
        <v>0.23069999999999999</v>
      </c>
      <c r="AN34">
        <v>0.21079999999999999</v>
      </c>
      <c r="AO34">
        <v>0.2339</v>
      </c>
      <c r="AP34">
        <v>0.22370000000000001</v>
      </c>
      <c r="AQ34">
        <v>0.24079999999999999</v>
      </c>
      <c r="AR34">
        <v>0.18690000000000001</v>
      </c>
      <c r="AS34">
        <v>0.19600000000000001</v>
      </c>
      <c r="AT34">
        <v>0.20760000000000001</v>
      </c>
      <c r="AU34">
        <v>0.17730000000000001</v>
      </c>
      <c r="AV34" t="s">
        <v>160</v>
      </c>
      <c r="AW34">
        <v>0</v>
      </c>
      <c r="AX34">
        <v>0.18809999999999999</v>
      </c>
      <c r="AY34">
        <v>0.24379999999999999</v>
      </c>
      <c r="AZ34">
        <v>0.21240000000000001</v>
      </c>
      <c r="BA34">
        <v>0.18390000000000001</v>
      </c>
      <c r="BB34">
        <v>0.2422</v>
      </c>
      <c r="BC34">
        <v>0.20930000000000001</v>
      </c>
      <c r="BD34">
        <v>0.249</v>
      </c>
      <c r="BE34">
        <v>0.21779999999999999</v>
      </c>
      <c r="BF34">
        <v>0</v>
      </c>
      <c r="BG34">
        <v>0.21199999999999999</v>
      </c>
      <c r="BH34">
        <v>0.21279999999999999</v>
      </c>
      <c r="BI34">
        <v>0.2361</v>
      </c>
      <c r="BJ34">
        <v>0.21160000000000001</v>
      </c>
      <c r="BK34">
        <v>0.2162</v>
      </c>
      <c r="BL34">
        <v>0.2011</v>
      </c>
      <c r="BM34">
        <v>0.21160000000000001</v>
      </c>
      <c r="BN34">
        <v>0.2233</v>
      </c>
      <c r="BO34">
        <v>0.2175</v>
      </c>
      <c r="BP34">
        <v>0.2152</v>
      </c>
      <c r="BQ34">
        <v>0.18579999999999999</v>
      </c>
      <c r="BR34">
        <v>0.20660000000000001</v>
      </c>
      <c r="BS34">
        <v>0.22839999999999999</v>
      </c>
      <c r="BT34">
        <v>0.2402</v>
      </c>
      <c r="BU34">
        <v>0.33289999999999997</v>
      </c>
      <c r="BV34">
        <v>0.21340000000000001</v>
      </c>
      <c r="BW34">
        <v>0.20399999999999999</v>
      </c>
      <c r="BX34" s="31">
        <v>0.2296</v>
      </c>
      <c r="BY34" s="31">
        <v>0.19370000000000001</v>
      </c>
      <c r="BZ34" s="31">
        <v>0.21970000000000001</v>
      </c>
      <c r="CA34" s="31">
        <v>0</v>
      </c>
      <c r="CB34" s="31">
        <v>0.2228</v>
      </c>
      <c r="CC34" s="31">
        <v>0.2747</v>
      </c>
      <c r="CD34" s="31">
        <v>0</v>
      </c>
      <c r="CE34" s="31">
        <v>0.23430000000000001</v>
      </c>
      <c r="CF34" s="31">
        <v>0.20730000000000001</v>
      </c>
      <c r="CG34" s="31">
        <v>0.25340000000000001</v>
      </c>
      <c r="CH34" s="31">
        <v>0.2366</v>
      </c>
      <c r="CI34" s="31">
        <v>0.22700000000000001</v>
      </c>
      <c r="CJ34" s="31">
        <v>0.29899999999999999</v>
      </c>
      <c r="CK34" s="31">
        <v>0.23100000000000001</v>
      </c>
      <c r="CL34" s="31">
        <v>0.21920000000000001</v>
      </c>
      <c r="CM34" s="31">
        <v>0.34499999999999997</v>
      </c>
      <c r="CN34" s="31">
        <v>0.23230000000000001</v>
      </c>
      <c r="CO34" s="31">
        <v>0.18440000000000001</v>
      </c>
      <c r="CP34" s="31">
        <v>0.27079999999999999</v>
      </c>
      <c r="CQ34" s="31">
        <v>0.18360000000000001</v>
      </c>
      <c r="CR34" s="31">
        <v>0.37719999999999998</v>
      </c>
      <c r="CS34" s="31">
        <v>0.44869999999999999</v>
      </c>
      <c r="CT34" s="31">
        <v>0.1741</v>
      </c>
      <c r="CU34" s="31">
        <v>0.2341</v>
      </c>
      <c r="CV34" s="31">
        <v>0.19370000000000001</v>
      </c>
      <c r="CW34" s="31">
        <v>0.19539999999999999</v>
      </c>
      <c r="CX34" s="31">
        <v>0.29980000000000001</v>
      </c>
      <c r="CY34" s="31">
        <v>0.2281</v>
      </c>
      <c r="CZ34" s="31">
        <v>0.2286</v>
      </c>
      <c r="DA34" s="31">
        <v>0.22539999999999999</v>
      </c>
      <c r="DB34" s="31">
        <v>0.20349999999999999</v>
      </c>
      <c r="DC34" s="31">
        <v>0.21099999999999999</v>
      </c>
      <c r="DD34" s="31">
        <v>0.22140000000000001</v>
      </c>
      <c r="DE34" s="31">
        <v>0.182</v>
      </c>
      <c r="DF34" s="31">
        <v>0.30940000000000001</v>
      </c>
      <c r="DG34" s="31">
        <v>0.24310000000000001</v>
      </c>
      <c r="DH34" s="31">
        <v>0.24809999999999999</v>
      </c>
      <c r="DI34" s="31">
        <v>0.24629999999999999</v>
      </c>
      <c r="DJ34" s="31">
        <v>0.24149999999999999</v>
      </c>
      <c r="DK34" s="31">
        <v>0.21529999999999999</v>
      </c>
      <c r="DL34" s="31">
        <v>0.25540000000000002</v>
      </c>
      <c r="DM34" s="31">
        <v>0.48980000000000001</v>
      </c>
      <c r="DN34" s="31">
        <v>0.2301</v>
      </c>
      <c r="DO34" s="31">
        <v>0.1875</v>
      </c>
      <c r="DP34" s="31">
        <v>0.31259999999999999</v>
      </c>
      <c r="DQ34" s="31">
        <v>0.2263</v>
      </c>
      <c r="DR34" s="31">
        <v>0.32750000000000001</v>
      </c>
      <c r="DS34" s="31">
        <v>0.23619999999999999</v>
      </c>
      <c r="DT34" s="31">
        <v>0.24629999999999999</v>
      </c>
      <c r="DU34" s="31">
        <v>0.20469999999999999</v>
      </c>
      <c r="DV34" s="31">
        <v>0.22689999999999999</v>
      </c>
      <c r="DW34" s="31">
        <v>0.2172</v>
      </c>
      <c r="DX34" s="31">
        <v>0.2429</v>
      </c>
      <c r="DY34" s="31">
        <v>0.24779999999999999</v>
      </c>
      <c r="DZ34" s="31">
        <v>0.22919999999999999</v>
      </c>
      <c r="EA34" s="31">
        <v>0.17960000000000001</v>
      </c>
      <c r="EB34" s="31">
        <v>0.2162</v>
      </c>
      <c r="EC34" s="31">
        <v>0.24379999999999999</v>
      </c>
      <c r="ED34" s="31">
        <v>0.2419</v>
      </c>
      <c r="EE34" s="31">
        <v>0.21560000000000001</v>
      </c>
    </row>
    <row r="35" spans="1:135" x14ac:dyDescent="0.3">
      <c r="A35" s="9" t="s">
        <v>1</v>
      </c>
      <c r="B35" s="30">
        <v>1.2200000000000001E-2</v>
      </c>
      <c r="C35" s="30">
        <v>1.2E-2</v>
      </c>
      <c r="D35" s="30">
        <v>1.1599999999999999E-2</v>
      </c>
      <c r="E35" s="30">
        <v>1.26E-2</v>
      </c>
      <c r="F35" s="30">
        <v>1.2699999999999999E-2</v>
      </c>
      <c r="G35" s="30">
        <v>1.29E-2</v>
      </c>
      <c r="H35" s="30">
        <v>1.21E-2</v>
      </c>
      <c r="I35" s="30">
        <v>1.21E-2</v>
      </c>
      <c r="J35" s="30">
        <v>1.2E-2</v>
      </c>
      <c r="K35" s="30">
        <v>1.26E-2</v>
      </c>
      <c r="L35" s="30">
        <v>1.29E-2</v>
      </c>
      <c r="M35" s="30">
        <v>1.15E-2</v>
      </c>
      <c r="N35" s="30">
        <v>1.29E-2</v>
      </c>
      <c r="O35" s="30">
        <v>1.34E-2</v>
      </c>
      <c r="P35" s="30">
        <v>1.24E-2</v>
      </c>
      <c r="Q35" s="30">
        <v>1.1299999999999999E-2</v>
      </c>
      <c r="R35" s="30">
        <v>1.2699999999999999E-2</v>
      </c>
      <c r="S35" s="30">
        <v>1.34E-2</v>
      </c>
      <c r="T35" s="30">
        <v>1.29E-2</v>
      </c>
      <c r="U35" s="30">
        <v>1.38E-2</v>
      </c>
      <c r="V35" s="30">
        <v>1.38E-2</v>
      </c>
      <c r="W35" s="30">
        <v>0</v>
      </c>
      <c r="X35" s="30">
        <v>1.32E-2</v>
      </c>
      <c r="Y35" s="30">
        <v>1.29E-2</v>
      </c>
      <c r="Z35" s="30">
        <v>0</v>
      </c>
      <c r="AA35" s="30">
        <v>1.2800000000000001E-2</v>
      </c>
      <c r="AB35" s="30">
        <v>1.2699999999999999E-2</v>
      </c>
      <c r="AC35" s="30">
        <v>1.3599999999999999E-2</v>
      </c>
      <c r="AD35" s="30">
        <v>1.2999999999999999E-2</v>
      </c>
      <c r="AE35" s="30">
        <v>1.2699999999999999E-2</v>
      </c>
      <c r="AF35" s="30">
        <v>1.2699999999999999E-2</v>
      </c>
      <c r="AG35" s="30">
        <v>1.23E-2</v>
      </c>
      <c r="AH35" s="30">
        <v>1.3100000000000001E-2</v>
      </c>
      <c r="AI35" s="30">
        <v>1.24E-2</v>
      </c>
      <c r="AJ35" s="30">
        <v>1.35E-2</v>
      </c>
      <c r="AK35" s="30">
        <v>1.32E-2</v>
      </c>
      <c r="AL35" s="30">
        <v>1.2699999999999999E-2</v>
      </c>
      <c r="AM35" s="30">
        <v>1.2999999999999999E-2</v>
      </c>
      <c r="AN35" s="30">
        <v>1.29E-2</v>
      </c>
      <c r="AO35" s="30">
        <v>1.2699999999999999E-2</v>
      </c>
      <c r="AP35" s="30">
        <v>1.3599999999999999E-2</v>
      </c>
      <c r="AQ35" s="30">
        <v>1.2800000000000001E-2</v>
      </c>
      <c r="AR35" s="30">
        <v>1.2999999999999999E-2</v>
      </c>
      <c r="AS35" s="30">
        <v>1.29E-2</v>
      </c>
      <c r="AT35" s="30">
        <v>1.23E-2</v>
      </c>
      <c r="AU35" s="30">
        <v>1.2999999999999999E-2</v>
      </c>
      <c r="AV35" s="30">
        <v>1.1900000000000001E-2</v>
      </c>
      <c r="AW35" s="30">
        <v>1.2999999999999999E-2</v>
      </c>
      <c r="AX35" s="30">
        <v>1.2999999999999999E-2</v>
      </c>
      <c r="AY35" s="30">
        <v>1.24E-2</v>
      </c>
      <c r="AZ35" s="30">
        <v>1.32E-2</v>
      </c>
      <c r="BA35" s="30">
        <v>1.2200000000000001E-2</v>
      </c>
      <c r="BB35" s="30">
        <v>1.35E-2</v>
      </c>
      <c r="BC35" s="30">
        <v>1.23E-2</v>
      </c>
      <c r="BD35" s="30">
        <v>1.34E-2</v>
      </c>
      <c r="BE35" s="30">
        <v>1.2E-2</v>
      </c>
      <c r="BF35" s="30">
        <v>1.21E-2</v>
      </c>
      <c r="BG35" s="30">
        <v>1.2999999999999999E-2</v>
      </c>
      <c r="BH35" s="30">
        <v>1.2500000000000001E-2</v>
      </c>
      <c r="BI35" s="30">
        <v>1.38E-2</v>
      </c>
      <c r="BJ35" s="30">
        <v>1.3299999999999999E-2</v>
      </c>
      <c r="BK35" s="30">
        <v>1.2999999999999999E-2</v>
      </c>
      <c r="BL35" s="30">
        <v>1.2999999999999999E-2</v>
      </c>
      <c r="BM35" s="30">
        <v>1.44E-2</v>
      </c>
      <c r="BN35" s="30">
        <v>1.3100000000000001E-2</v>
      </c>
      <c r="BO35" s="30">
        <v>1.34E-2</v>
      </c>
      <c r="BP35" s="30">
        <v>1.35E-2</v>
      </c>
      <c r="BQ35" s="30">
        <v>1.35E-2</v>
      </c>
      <c r="BR35" s="30">
        <v>1.23E-2</v>
      </c>
      <c r="BS35" s="30">
        <v>1.35E-2</v>
      </c>
      <c r="BT35" s="30">
        <v>1.2699999999999999E-2</v>
      </c>
      <c r="BU35" s="30">
        <v>1.12E-2</v>
      </c>
      <c r="BV35" s="30">
        <v>1.2699999999999999E-2</v>
      </c>
      <c r="BW35" s="30">
        <v>1.34E-2</v>
      </c>
      <c r="BX35" s="9">
        <v>1.2500000000000001E-2</v>
      </c>
      <c r="BY35" s="9">
        <v>1.2699999999999999E-2</v>
      </c>
      <c r="BZ35" s="9">
        <v>1.21E-2</v>
      </c>
      <c r="CA35" s="9">
        <v>1.09E-2</v>
      </c>
      <c r="CB35" s="9">
        <v>0</v>
      </c>
      <c r="CC35" s="9">
        <v>1.2800000000000001E-2</v>
      </c>
      <c r="CD35" s="9">
        <v>1.2200000000000001E-2</v>
      </c>
      <c r="CE35" s="9">
        <v>1.3100000000000001E-2</v>
      </c>
      <c r="CF35" s="9">
        <v>1.2500000000000001E-2</v>
      </c>
      <c r="CG35" s="9">
        <v>1.32E-2</v>
      </c>
      <c r="CH35" s="9">
        <v>1.21E-2</v>
      </c>
      <c r="CI35" s="9">
        <v>1.2200000000000001E-2</v>
      </c>
      <c r="CJ35" s="9">
        <v>1.2800000000000001E-2</v>
      </c>
      <c r="CK35" s="9">
        <v>1.2699999999999999E-2</v>
      </c>
      <c r="CL35" s="9">
        <v>1.2E-2</v>
      </c>
      <c r="CM35" s="9">
        <v>0</v>
      </c>
      <c r="CN35" s="9">
        <v>1.23E-2</v>
      </c>
      <c r="CO35" s="9">
        <v>1.2200000000000001E-2</v>
      </c>
      <c r="CP35" s="9">
        <v>1.2699999999999999E-2</v>
      </c>
      <c r="CQ35" s="9">
        <v>1.2699999999999999E-2</v>
      </c>
      <c r="CR35" s="9">
        <v>1.0500000000000001E-2</v>
      </c>
      <c r="CS35" s="9">
        <v>1.09E-2</v>
      </c>
      <c r="CT35" s="9">
        <v>1.2800000000000001E-2</v>
      </c>
      <c r="CU35" s="9">
        <v>1.32E-2</v>
      </c>
      <c r="CV35" s="9">
        <v>1.2699999999999999E-2</v>
      </c>
      <c r="CW35" s="9">
        <v>1.35E-2</v>
      </c>
      <c r="CX35" s="9">
        <v>1.0500000000000001E-2</v>
      </c>
      <c r="CY35" s="9">
        <v>1.2699999999999999E-2</v>
      </c>
      <c r="CZ35" s="9">
        <v>1.2200000000000001E-2</v>
      </c>
      <c r="DA35" s="9">
        <v>1.3299999999999999E-2</v>
      </c>
      <c r="DB35" s="9">
        <v>1.37E-2</v>
      </c>
      <c r="DC35" s="9">
        <v>1.18E-2</v>
      </c>
      <c r="DD35" s="9">
        <v>1.26E-2</v>
      </c>
      <c r="DE35" s="9">
        <v>1.2699999999999999E-2</v>
      </c>
      <c r="DF35" s="9">
        <v>1.15E-2</v>
      </c>
      <c r="DG35" s="9">
        <v>1.21E-2</v>
      </c>
      <c r="DH35" s="9">
        <v>1.32E-2</v>
      </c>
      <c r="DI35" s="9">
        <v>1.26E-2</v>
      </c>
      <c r="DJ35" s="9">
        <v>1.18E-2</v>
      </c>
      <c r="DK35" s="9">
        <v>1.23E-2</v>
      </c>
      <c r="DL35" s="9">
        <v>1.2999999999999999E-2</v>
      </c>
      <c r="DM35" s="9">
        <v>0</v>
      </c>
      <c r="DN35" s="9">
        <v>0</v>
      </c>
      <c r="DO35" s="9">
        <v>1.32E-2</v>
      </c>
      <c r="DP35" s="9">
        <v>0</v>
      </c>
      <c r="DQ35" s="9">
        <v>1.34E-2</v>
      </c>
      <c r="DR35" s="9">
        <v>0</v>
      </c>
      <c r="DS35" s="9">
        <v>0</v>
      </c>
      <c r="DT35" s="9">
        <v>1.2800000000000001E-2</v>
      </c>
      <c r="DU35" s="9">
        <v>0</v>
      </c>
      <c r="DV35" s="9">
        <v>1.35E-2</v>
      </c>
      <c r="DW35" s="9">
        <v>1.3599999999999999E-2</v>
      </c>
      <c r="DX35" s="9">
        <v>1.34E-2</v>
      </c>
      <c r="DY35" s="9">
        <v>1.34E-2</v>
      </c>
      <c r="DZ35" s="9">
        <v>1.2E-2</v>
      </c>
      <c r="EA35" s="9">
        <v>1.26E-2</v>
      </c>
      <c r="EB35" s="9">
        <v>1.24E-2</v>
      </c>
      <c r="EC35" s="9">
        <v>1.29E-2</v>
      </c>
      <c r="ED35" s="9">
        <v>1.35E-2</v>
      </c>
      <c r="EE35" s="9">
        <v>1.3599999999999999E-2</v>
      </c>
    </row>
    <row r="36" spans="1:135" x14ac:dyDescent="0.3"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</row>
  </sheetData>
  <mergeCells count="1">
    <mergeCell ref="A1:XF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CC91-5EA4-46FB-BD45-7A18B6E9B68B}">
  <dimension ref="A1:BM37"/>
  <sheetViews>
    <sheetView showGridLines="0" workbookViewId="0">
      <selection activeCell="B2" sqref="B2"/>
    </sheetView>
  </sheetViews>
  <sheetFormatPr baseColWidth="10" defaultRowHeight="14.4" x14ac:dyDescent="0.3"/>
  <cols>
    <col min="1" max="1" width="11.5546875" style="1"/>
  </cols>
  <sheetData>
    <row r="1" spans="1:65" s="37" customFormat="1" x14ac:dyDescent="0.3">
      <c r="A1" s="37" t="s">
        <v>879</v>
      </c>
    </row>
    <row r="4" spans="1:65" s="1" customFormat="1" x14ac:dyDescent="0.3"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19</v>
      </c>
      <c r="T4" s="17" t="s">
        <v>20</v>
      </c>
      <c r="U4" s="17" t="s">
        <v>21</v>
      </c>
      <c r="V4" s="17" t="s">
        <v>22</v>
      </c>
      <c r="W4" s="17" t="s">
        <v>23</v>
      </c>
      <c r="X4" s="17" t="s">
        <v>24</v>
      </c>
      <c r="Y4" s="17" t="s">
        <v>25</v>
      </c>
      <c r="Z4" s="17" t="s">
        <v>26</v>
      </c>
      <c r="AA4" s="17" t="s">
        <v>27</v>
      </c>
      <c r="AB4" s="17" t="s">
        <v>28</v>
      </c>
      <c r="AC4" s="17" t="s">
        <v>29</v>
      </c>
      <c r="AD4" s="17" t="s">
        <v>30</v>
      </c>
      <c r="AE4" s="17" t="s">
        <v>31</v>
      </c>
      <c r="AF4" s="17" t="s">
        <v>32</v>
      </c>
      <c r="AG4" s="17" t="s">
        <v>33</v>
      </c>
      <c r="AH4" s="17" t="s">
        <v>34</v>
      </c>
      <c r="AI4" s="17" t="s">
        <v>35</v>
      </c>
      <c r="AJ4" s="17" t="s">
        <v>36</v>
      </c>
      <c r="AK4" s="17" t="s">
        <v>37</v>
      </c>
      <c r="AL4" s="17" t="s">
        <v>38</v>
      </c>
      <c r="AM4" s="17" t="s">
        <v>39</v>
      </c>
      <c r="AN4" s="17" t="s">
        <v>40</v>
      </c>
      <c r="AO4" s="17" t="s">
        <v>41</v>
      </c>
      <c r="AP4" s="17" t="s">
        <v>42</v>
      </c>
      <c r="AQ4" s="17" t="s">
        <v>43</v>
      </c>
      <c r="AR4" s="17" t="s">
        <v>44</v>
      </c>
      <c r="AS4" s="17" t="s">
        <v>45</v>
      </c>
      <c r="AT4" s="17" t="s">
        <v>46</v>
      </c>
      <c r="AU4" s="17" t="s">
        <v>47</v>
      </c>
      <c r="AV4" s="17" t="s">
        <v>48</v>
      </c>
      <c r="AW4" s="17" t="s">
        <v>49</v>
      </c>
      <c r="AX4" s="17" t="s">
        <v>50</v>
      </c>
      <c r="AY4" s="17" t="s">
        <v>51</v>
      </c>
      <c r="AZ4" s="17" t="s">
        <v>52</v>
      </c>
      <c r="BA4" s="17" t="s">
        <v>53</v>
      </c>
      <c r="BB4" s="17" t="s">
        <v>54</v>
      </c>
      <c r="BC4" s="17" t="s">
        <v>55</v>
      </c>
      <c r="BD4" s="17" t="s">
        <v>56</v>
      </c>
      <c r="BE4" s="17" t="s">
        <v>57</v>
      </c>
      <c r="BF4" s="17" t="s">
        <v>58</v>
      </c>
      <c r="BG4" s="17" t="s">
        <v>59</v>
      </c>
      <c r="BH4" s="17" t="s">
        <v>60</v>
      </c>
      <c r="BI4" s="17" t="s">
        <v>61</v>
      </c>
      <c r="BJ4" s="17" t="s">
        <v>62</v>
      </c>
      <c r="BK4" s="17" t="s">
        <v>63</v>
      </c>
      <c r="BL4" s="17" t="s">
        <v>64</v>
      </c>
      <c r="BM4" s="17" t="s">
        <v>65</v>
      </c>
    </row>
    <row r="5" spans="1:65" x14ac:dyDescent="0.3">
      <c r="B5" s="14" t="s">
        <v>192</v>
      </c>
      <c r="C5" s="14" t="s">
        <v>193</v>
      </c>
      <c r="D5" s="14" t="s">
        <v>194</v>
      </c>
      <c r="E5" s="14" t="s">
        <v>195</v>
      </c>
      <c r="F5" s="14" t="s">
        <v>196</v>
      </c>
      <c r="G5" s="14" t="s">
        <v>197</v>
      </c>
      <c r="H5" s="14" t="s">
        <v>198</v>
      </c>
      <c r="I5" s="14" t="s">
        <v>199</v>
      </c>
      <c r="J5" s="14" t="s">
        <v>200</v>
      </c>
      <c r="K5" s="14" t="s">
        <v>201</v>
      </c>
      <c r="L5" s="14" t="s">
        <v>202</v>
      </c>
      <c r="M5" s="14" t="s">
        <v>203</v>
      </c>
      <c r="N5" s="14" t="s">
        <v>204</v>
      </c>
      <c r="O5" s="14" t="s">
        <v>205</v>
      </c>
      <c r="P5" s="14" t="s">
        <v>206</v>
      </c>
      <c r="Q5" s="14" t="s">
        <v>207</v>
      </c>
      <c r="R5" s="14" t="s">
        <v>208</v>
      </c>
      <c r="S5" s="14" t="s">
        <v>209</v>
      </c>
      <c r="T5" s="14" t="s">
        <v>210</v>
      </c>
      <c r="U5" s="14" t="s">
        <v>211</v>
      </c>
      <c r="V5" s="14" t="s">
        <v>212</v>
      </c>
      <c r="W5" s="14" t="s">
        <v>213</v>
      </c>
      <c r="X5" s="14" t="s">
        <v>214</v>
      </c>
      <c r="Y5" s="14" t="s">
        <v>215</v>
      </c>
      <c r="Z5" s="14" t="s">
        <v>216</v>
      </c>
      <c r="AA5" s="14" t="s">
        <v>217</v>
      </c>
      <c r="AB5" s="14" t="s">
        <v>218</v>
      </c>
      <c r="AC5" s="14" t="s">
        <v>219</v>
      </c>
      <c r="AD5" s="14" t="s">
        <v>220</v>
      </c>
      <c r="AE5" s="14" t="s">
        <v>221</v>
      </c>
      <c r="AF5" s="14" t="s">
        <v>222</v>
      </c>
      <c r="AG5" s="14" t="s">
        <v>223</v>
      </c>
      <c r="AH5" s="14" t="s">
        <v>224</v>
      </c>
      <c r="AI5" s="14" t="s">
        <v>225</v>
      </c>
      <c r="AJ5" s="14" t="s">
        <v>226</v>
      </c>
      <c r="AK5" s="14" t="s">
        <v>227</v>
      </c>
      <c r="AL5" s="14" t="s">
        <v>228</v>
      </c>
      <c r="AM5" s="14" t="s">
        <v>229</v>
      </c>
      <c r="AN5" s="14" t="s">
        <v>230</v>
      </c>
      <c r="AO5" s="14" t="s">
        <v>231</v>
      </c>
      <c r="AP5" s="14" t="s">
        <v>232</v>
      </c>
      <c r="AQ5" s="14" t="s">
        <v>233</v>
      </c>
      <c r="AR5" s="14" t="s">
        <v>234</v>
      </c>
      <c r="AS5" s="14" t="s">
        <v>235</v>
      </c>
      <c r="AT5" s="14" t="s">
        <v>236</v>
      </c>
      <c r="AU5" s="14" t="s">
        <v>237</v>
      </c>
      <c r="AV5" s="14" t="s">
        <v>238</v>
      </c>
      <c r="AW5" s="14" t="s">
        <v>239</v>
      </c>
      <c r="AX5" s="14" t="s">
        <v>240</v>
      </c>
      <c r="AY5" s="14" t="s">
        <v>241</v>
      </c>
      <c r="AZ5" s="14" t="s">
        <v>242</v>
      </c>
      <c r="BA5" s="14" t="s">
        <v>243</v>
      </c>
      <c r="BB5" s="14" t="s">
        <v>244</v>
      </c>
      <c r="BC5" s="14" t="s">
        <v>245</v>
      </c>
      <c r="BD5" s="14" t="s">
        <v>246</v>
      </c>
      <c r="BE5" s="14" t="s">
        <v>247</v>
      </c>
      <c r="BF5" s="14" t="s">
        <v>248</v>
      </c>
      <c r="BG5" s="14" t="s">
        <v>249</v>
      </c>
      <c r="BH5" s="14" t="s">
        <v>250</v>
      </c>
      <c r="BI5" s="14" t="s">
        <v>251</v>
      </c>
      <c r="BJ5" s="14" t="s">
        <v>252</v>
      </c>
      <c r="BK5" s="14" t="s">
        <v>253</v>
      </c>
      <c r="BL5" s="14" t="s">
        <v>254</v>
      </c>
      <c r="BM5" s="14" t="s">
        <v>255</v>
      </c>
    </row>
    <row r="6" spans="1:65" x14ac:dyDescent="0.3">
      <c r="A6" s="16" t="s">
        <v>161</v>
      </c>
      <c r="B6" s="1">
        <v>1.5800000000000002E-2</v>
      </c>
      <c r="C6" s="1">
        <v>1.49E-2</v>
      </c>
      <c r="D6" s="1">
        <v>1.5699999999999999E-2</v>
      </c>
      <c r="E6" s="1">
        <v>1.6500000000000001E-2</v>
      </c>
      <c r="F6" s="1">
        <v>1.6199999999999999E-2</v>
      </c>
      <c r="G6" s="1">
        <v>1.5800000000000002E-2</v>
      </c>
      <c r="H6" s="1">
        <v>1.5699999999999999E-2</v>
      </c>
      <c r="I6" s="1">
        <v>1.61E-2</v>
      </c>
      <c r="J6" s="1">
        <v>1.54E-2</v>
      </c>
      <c r="K6" s="1">
        <v>1.5900000000000001E-2</v>
      </c>
      <c r="L6" s="1">
        <v>1.67E-2</v>
      </c>
      <c r="M6" s="1">
        <v>1.5599999999999999E-2</v>
      </c>
      <c r="N6" s="1">
        <v>1.5599999999999999E-2</v>
      </c>
      <c r="O6" s="1">
        <v>1.55E-2</v>
      </c>
      <c r="P6" s="1">
        <v>1.6500000000000001E-2</v>
      </c>
      <c r="Q6" s="1">
        <v>1.55E-2</v>
      </c>
      <c r="R6" s="1">
        <v>1.55E-2</v>
      </c>
      <c r="S6" s="1">
        <v>1.52E-2</v>
      </c>
      <c r="T6" s="1">
        <v>1.4999999999999999E-2</v>
      </c>
      <c r="U6" s="1">
        <v>1.54E-2</v>
      </c>
      <c r="V6" s="1">
        <v>1.5599999999999999E-2</v>
      </c>
      <c r="W6" s="1">
        <v>1.54E-2</v>
      </c>
      <c r="X6" s="1">
        <v>1.54E-2</v>
      </c>
      <c r="Y6" s="1">
        <v>1.5599999999999999E-2</v>
      </c>
      <c r="Z6" s="1">
        <v>1.6199999999999999E-2</v>
      </c>
      <c r="AA6" s="1">
        <v>1.54E-2</v>
      </c>
      <c r="AB6" s="1">
        <v>1.5299999999999999E-2</v>
      </c>
      <c r="AC6" s="1">
        <v>1.5599999999999999E-2</v>
      </c>
      <c r="AD6" s="1">
        <v>1.5900000000000001E-2</v>
      </c>
      <c r="AE6" s="1">
        <v>1.54E-2</v>
      </c>
      <c r="AF6" s="1">
        <v>1.5900000000000001E-2</v>
      </c>
      <c r="AG6" s="1">
        <v>1.4999999999999999E-2</v>
      </c>
      <c r="AH6" s="1">
        <v>1.6E-2</v>
      </c>
      <c r="AI6" s="1">
        <v>1.6E-2</v>
      </c>
      <c r="AJ6" s="1">
        <v>1.5699999999999999E-2</v>
      </c>
      <c r="AK6" s="1">
        <v>1.52E-2</v>
      </c>
      <c r="AL6" s="1">
        <v>1.47E-2</v>
      </c>
      <c r="AM6" s="1">
        <v>1.5900000000000001E-2</v>
      </c>
      <c r="AN6" s="1">
        <v>1.55E-2</v>
      </c>
      <c r="AO6" s="1">
        <v>1.5800000000000002E-2</v>
      </c>
      <c r="AP6" s="1">
        <v>1.5699999999999999E-2</v>
      </c>
      <c r="AQ6" s="1">
        <v>1.5599999999999999E-2</v>
      </c>
      <c r="AR6" s="1">
        <v>1.6199999999999999E-2</v>
      </c>
      <c r="AS6" s="1">
        <v>1.6E-2</v>
      </c>
      <c r="AT6" s="1">
        <v>1.5599999999999999E-2</v>
      </c>
      <c r="AU6" s="1">
        <v>1.5900000000000001E-2</v>
      </c>
      <c r="AV6" s="1">
        <v>1.5599999999999999E-2</v>
      </c>
      <c r="AW6" s="1">
        <v>1.5299999999999999E-2</v>
      </c>
      <c r="AX6" s="1">
        <v>1.5299999999999999E-2</v>
      </c>
      <c r="AY6" s="1">
        <v>1.5299999999999999E-2</v>
      </c>
      <c r="AZ6" s="1">
        <v>1.5299999999999999E-2</v>
      </c>
      <c r="BA6" s="1">
        <v>1.5900000000000001E-2</v>
      </c>
      <c r="BB6" s="1">
        <v>1.5299999999999999E-2</v>
      </c>
      <c r="BC6" s="1">
        <v>1.55E-2</v>
      </c>
      <c r="BD6" s="1">
        <v>1.5100000000000001E-2</v>
      </c>
      <c r="BE6" s="1">
        <v>1.46E-2</v>
      </c>
      <c r="BF6" s="1">
        <v>1.6500000000000001E-2</v>
      </c>
      <c r="BG6" s="1">
        <v>1.6199999999999999E-2</v>
      </c>
      <c r="BH6" s="1">
        <v>1.49E-2</v>
      </c>
      <c r="BI6" s="1">
        <v>1.46E-2</v>
      </c>
      <c r="BJ6" s="1">
        <v>1.5800000000000002E-2</v>
      </c>
      <c r="BK6" s="1">
        <v>1.6199999999999999E-2</v>
      </c>
      <c r="BL6" s="1">
        <v>1.4999999999999999E-2</v>
      </c>
      <c r="BM6" s="1">
        <v>1.4999999999999999E-2</v>
      </c>
    </row>
    <row r="7" spans="1:65" x14ac:dyDescent="0.3">
      <c r="A7" s="13" t="s">
        <v>162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1.72E-2</v>
      </c>
      <c r="S7" s="1">
        <v>0</v>
      </c>
      <c r="T7" s="1">
        <v>0</v>
      </c>
      <c r="U7" s="1">
        <v>1.61E-2</v>
      </c>
      <c r="V7" s="1">
        <v>0</v>
      </c>
      <c r="W7" s="1">
        <v>0</v>
      </c>
      <c r="X7" s="1">
        <v>1.5900000000000001E-2</v>
      </c>
      <c r="Y7" s="1">
        <v>1.6299999999999999E-2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1.78E-2</v>
      </c>
      <c r="AI7" s="1">
        <v>1.6799999999999999E-2</v>
      </c>
      <c r="AJ7" s="1">
        <v>1.6799999999999999E-2</v>
      </c>
      <c r="AK7" s="1">
        <v>1.7299999999999999E-2</v>
      </c>
      <c r="AL7" s="1">
        <v>0</v>
      </c>
      <c r="AM7" s="1">
        <v>1.7000000000000001E-2</v>
      </c>
      <c r="AN7" s="1">
        <v>1.7899999999999999E-2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1.61E-2</v>
      </c>
      <c r="BI7" s="1">
        <v>1.67E-2</v>
      </c>
      <c r="BJ7" s="1">
        <v>1.43E-2</v>
      </c>
      <c r="BK7" s="1">
        <v>1.8100000000000002E-2</v>
      </c>
      <c r="BL7" s="1">
        <v>1.6199999999999999E-2</v>
      </c>
      <c r="BM7" s="1">
        <v>1.61E-2</v>
      </c>
    </row>
    <row r="8" spans="1:65" x14ac:dyDescent="0.3">
      <c r="A8" s="13" t="s">
        <v>163</v>
      </c>
      <c r="B8" s="1">
        <v>1.55E-2</v>
      </c>
      <c r="C8" s="1">
        <v>1.55E-2</v>
      </c>
      <c r="D8" s="1">
        <v>1.4800000000000001E-2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1.4500000000000001E-2</v>
      </c>
      <c r="K8" s="1">
        <v>1.47E-2</v>
      </c>
      <c r="L8" s="1">
        <v>1.4800000000000001E-2</v>
      </c>
      <c r="M8" s="1">
        <v>1.1299999999999999E-2</v>
      </c>
      <c r="N8" s="1">
        <v>1.41E-2</v>
      </c>
      <c r="O8" s="1">
        <v>1.49E-2</v>
      </c>
      <c r="P8" s="1">
        <v>1.0800000000000001E-2</v>
      </c>
      <c r="Q8" s="1">
        <v>0</v>
      </c>
      <c r="R8" s="1">
        <v>1.47E-2</v>
      </c>
      <c r="S8" s="1">
        <v>1.54E-2</v>
      </c>
      <c r="T8" s="1">
        <v>1.55E-2</v>
      </c>
      <c r="U8" s="1">
        <v>1.24E-2</v>
      </c>
      <c r="V8" s="1">
        <v>1.3899999999999999E-2</v>
      </c>
      <c r="W8" s="1">
        <v>1.3899999999999999E-2</v>
      </c>
      <c r="X8" s="1">
        <v>1.2E-2</v>
      </c>
      <c r="Y8" s="1">
        <v>1.2699999999999999E-2</v>
      </c>
      <c r="Z8" s="1">
        <v>1.44E-2</v>
      </c>
      <c r="AA8" s="1">
        <v>1.43E-2</v>
      </c>
      <c r="AB8" s="1">
        <v>1.38E-2</v>
      </c>
      <c r="AC8" s="1">
        <v>1.3299999999999999E-2</v>
      </c>
      <c r="AD8" s="1">
        <v>1.44E-2</v>
      </c>
      <c r="AE8" s="1">
        <v>1.47E-2</v>
      </c>
      <c r="AF8" s="1">
        <v>1.41E-2</v>
      </c>
      <c r="AG8" s="1">
        <v>1.4800000000000001E-2</v>
      </c>
      <c r="AH8" s="1">
        <v>1.32E-2</v>
      </c>
      <c r="AI8" s="1">
        <v>1.2800000000000001E-2</v>
      </c>
      <c r="AJ8" s="1">
        <v>1.1900000000000001E-2</v>
      </c>
      <c r="AK8" s="1">
        <v>1.2800000000000001E-2</v>
      </c>
      <c r="AL8" s="1">
        <v>1.44E-2</v>
      </c>
      <c r="AM8" s="1">
        <v>1.32E-2</v>
      </c>
      <c r="AN8" s="1">
        <v>1.4E-2</v>
      </c>
      <c r="AO8" s="1">
        <v>1.46E-2</v>
      </c>
      <c r="AP8" s="1">
        <v>1.44E-2</v>
      </c>
      <c r="AQ8" s="1">
        <v>1.44E-2</v>
      </c>
      <c r="AR8" s="1">
        <v>0</v>
      </c>
      <c r="AS8" s="1">
        <v>1.4200000000000001E-2</v>
      </c>
      <c r="AT8" s="1">
        <v>1.4500000000000001E-2</v>
      </c>
      <c r="AU8" s="1">
        <v>1.4800000000000001E-2</v>
      </c>
      <c r="AV8" s="1">
        <v>1.4500000000000001E-2</v>
      </c>
      <c r="AW8" s="1">
        <v>1.46E-2</v>
      </c>
      <c r="AX8" s="1">
        <v>1.4200000000000001E-2</v>
      </c>
      <c r="AY8" s="1">
        <v>1.61E-2</v>
      </c>
      <c r="AZ8" s="1">
        <v>1.52E-2</v>
      </c>
      <c r="BA8" s="1">
        <v>1.4200000000000001E-2</v>
      </c>
      <c r="BB8" s="1">
        <v>1.4999999999999999E-2</v>
      </c>
      <c r="BC8" s="1">
        <v>1.49E-2</v>
      </c>
      <c r="BD8" s="1">
        <v>1.4800000000000001E-2</v>
      </c>
      <c r="BE8" s="1">
        <v>1.4800000000000001E-2</v>
      </c>
      <c r="BF8" s="1">
        <v>1.4200000000000001E-2</v>
      </c>
      <c r="BG8" s="1">
        <v>1.4200000000000001E-2</v>
      </c>
      <c r="BH8" s="1">
        <v>1.18E-2</v>
      </c>
      <c r="BI8" s="1">
        <v>1.2200000000000001E-2</v>
      </c>
      <c r="BJ8" s="1">
        <v>1.0800000000000001E-2</v>
      </c>
      <c r="BK8" s="1">
        <v>1.41E-2</v>
      </c>
      <c r="BL8" s="1">
        <v>1.2800000000000001E-2</v>
      </c>
      <c r="BM8" s="1">
        <v>1.2500000000000001E-2</v>
      </c>
    </row>
    <row r="9" spans="1:65" x14ac:dyDescent="0.3">
      <c r="A9" s="13" t="s">
        <v>191</v>
      </c>
      <c r="B9" s="1">
        <v>0</v>
      </c>
      <c r="C9" s="1">
        <v>0</v>
      </c>
      <c r="D9" s="1">
        <v>0.67169999999999996</v>
      </c>
      <c r="E9" s="1">
        <v>0</v>
      </c>
      <c r="F9" s="1">
        <v>0.6603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0.61909999999999998</v>
      </c>
      <c r="N9" s="1">
        <v>0.63180000000000003</v>
      </c>
      <c r="O9" s="1">
        <v>0</v>
      </c>
      <c r="P9" s="1">
        <v>0.6139</v>
      </c>
      <c r="Q9" s="1">
        <v>0</v>
      </c>
      <c r="R9" s="1">
        <v>0.67330000000000001</v>
      </c>
      <c r="S9" s="1">
        <v>0.61299999999999999</v>
      </c>
      <c r="T9" s="1">
        <v>0.61060000000000003</v>
      </c>
      <c r="U9" s="1">
        <v>0</v>
      </c>
      <c r="V9" s="1">
        <v>0</v>
      </c>
      <c r="W9" s="1">
        <v>0.62660000000000005</v>
      </c>
      <c r="X9" s="1">
        <v>0</v>
      </c>
      <c r="Y9" s="1">
        <v>0.56730000000000003</v>
      </c>
      <c r="Z9" s="1">
        <v>0</v>
      </c>
      <c r="AA9" s="1">
        <v>0</v>
      </c>
      <c r="AB9" s="1">
        <v>0</v>
      </c>
      <c r="AC9" s="1">
        <v>0.60940000000000005</v>
      </c>
      <c r="AD9" s="1">
        <v>0</v>
      </c>
      <c r="AE9" s="1">
        <v>0</v>
      </c>
      <c r="AF9" s="1">
        <v>0.63739999999999997</v>
      </c>
      <c r="AG9" s="1">
        <v>0</v>
      </c>
      <c r="AH9" s="1">
        <v>0.63039999999999996</v>
      </c>
      <c r="AI9" s="1">
        <v>0.63870000000000005</v>
      </c>
      <c r="AJ9" s="1">
        <v>0</v>
      </c>
      <c r="AK9" s="1">
        <v>0</v>
      </c>
      <c r="AL9" s="1">
        <v>0.5786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0.62819999999999998</v>
      </c>
      <c r="AV9" s="1">
        <v>0</v>
      </c>
      <c r="AW9" s="1">
        <v>0.69420000000000004</v>
      </c>
      <c r="AX9" s="1">
        <v>0</v>
      </c>
      <c r="AY9" s="1">
        <v>0.71799999999999997</v>
      </c>
      <c r="AZ9" s="1">
        <v>0.64549999999999996</v>
      </c>
      <c r="BA9" s="1">
        <v>0.68479999999999996</v>
      </c>
      <c r="BB9" s="1">
        <v>0.66449999999999998</v>
      </c>
      <c r="BC9" s="1">
        <v>0.66879999999999995</v>
      </c>
      <c r="BD9" s="1">
        <v>0</v>
      </c>
      <c r="BE9" s="1">
        <v>0</v>
      </c>
      <c r="BF9" s="1">
        <v>0.67330000000000001</v>
      </c>
      <c r="BG9" s="1">
        <v>0.65059999999999996</v>
      </c>
      <c r="BH9" s="1">
        <v>0.60260000000000002</v>
      </c>
      <c r="BI9" s="1">
        <v>0.68420000000000003</v>
      </c>
      <c r="BJ9" s="1">
        <v>0.62270000000000003</v>
      </c>
      <c r="BK9" s="1">
        <v>0.6321</v>
      </c>
      <c r="BL9" s="1">
        <v>0.57230000000000003</v>
      </c>
      <c r="BM9" s="1">
        <v>0.62919999999999998</v>
      </c>
    </row>
    <row r="10" spans="1:65" x14ac:dyDescent="0.3">
      <c r="A10" s="13" t="s">
        <v>164</v>
      </c>
      <c r="B10" s="1">
        <v>8.6199999999999999E-2</v>
      </c>
      <c r="C10" s="1">
        <v>0.09</v>
      </c>
      <c r="D10" s="1">
        <v>8.3500000000000005E-2</v>
      </c>
      <c r="E10" s="1">
        <v>8.6099999999999996E-2</v>
      </c>
      <c r="F10" s="1">
        <v>8.48E-2</v>
      </c>
      <c r="G10" s="1">
        <v>8.5099999999999995E-2</v>
      </c>
      <c r="H10" s="1">
        <v>8.6800000000000002E-2</v>
      </c>
      <c r="I10" s="1">
        <v>8.5199999999999998E-2</v>
      </c>
      <c r="J10" s="1">
        <v>8.8900000000000007E-2</v>
      </c>
      <c r="K10" s="1">
        <v>7.9899999999999999E-2</v>
      </c>
      <c r="L10" s="1">
        <v>8.5199999999999998E-2</v>
      </c>
      <c r="M10" s="1">
        <v>0</v>
      </c>
      <c r="N10" s="1">
        <v>8.9099999999999999E-2</v>
      </c>
      <c r="O10" s="1">
        <v>8.1799999999999998E-2</v>
      </c>
      <c r="P10" s="1">
        <v>7.7700000000000005E-2</v>
      </c>
      <c r="Q10" s="1">
        <v>7.7899999999999997E-2</v>
      </c>
      <c r="R10" s="1">
        <v>9.01E-2</v>
      </c>
      <c r="S10" s="1">
        <v>7.3300000000000004E-2</v>
      </c>
      <c r="T10" s="1">
        <v>7.2800000000000004E-2</v>
      </c>
      <c r="U10" s="1">
        <v>7.9600000000000004E-2</v>
      </c>
      <c r="V10" s="1">
        <v>8.6199999999999999E-2</v>
      </c>
      <c r="W10" s="1">
        <v>9.1999999999999998E-2</v>
      </c>
      <c r="X10" s="1">
        <v>7.9500000000000001E-2</v>
      </c>
      <c r="Y10" s="1">
        <v>0</v>
      </c>
      <c r="Z10" s="1">
        <v>8.43E-2</v>
      </c>
      <c r="AA10" s="1">
        <v>8.1699999999999995E-2</v>
      </c>
      <c r="AB10" s="1">
        <v>8.6699999999999999E-2</v>
      </c>
      <c r="AC10" s="1">
        <v>7.5300000000000006E-2</v>
      </c>
      <c r="AD10" s="1">
        <v>9.06E-2</v>
      </c>
      <c r="AE10" s="1">
        <v>8.1600000000000006E-2</v>
      </c>
      <c r="AF10" s="1">
        <v>8.9200000000000002E-2</v>
      </c>
      <c r="AG10" s="1">
        <v>8.5400000000000004E-2</v>
      </c>
      <c r="AH10" s="1">
        <v>8.5300000000000001E-2</v>
      </c>
      <c r="AI10" s="1">
        <v>8.4000000000000005E-2</v>
      </c>
      <c r="AJ10" s="1">
        <v>8.1799999999999998E-2</v>
      </c>
      <c r="AK10" s="1">
        <v>8.1000000000000003E-2</v>
      </c>
      <c r="AL10" s="1">
        <v>8.2699999999999996E-2</v>
      </c>
      <c r="AM10" s="1">
        <v>7.3400000000000007E-2</v>
      </c>
      <c r="AN10" s="1">
        <v>8.5000000000000006E-2</v>
      </c>
      <c r="AO10" s="1">
        <v>9.1300000000000006E-2</v>
      </c>
      <c r="AP10" s="1">
        <v>8.5699999999999998E-2</v>
      </c>
      <c r="AQ10" s="1">
        <v>8.8900000000000007E-2</v>
      </c>
      <c r="AR10" s="1">
        <v>9.9299999999999999E-2</v>
      </c>
      <c r="AS10" s="1">
        <v>8.7099999999999997E-2</v>
      </c>
      <c r="AT10" s="1">
        <v>7.7799999999999994E-2</v>
      </c>
      <c r="AU10" s="1">
        <v>9.0200000000000002E-2</v>
      </c>
      <c r="AV10" s="1">
        <v>8.6499999999999994E-2</v>
      </c>
      <c r="AW10" s="1">
        <v>8.9200000000000002E-2</v>
      </c>
      <c r="AX10" s="1">
        <v>7.7600000000000002E-2</v>
      </c>
      <c r="AY10" s="1">
        <v>7.9200000000000007E-2</v>
      </c>
      <c r="AZ10" s="1">
        <v>8.2100000000000006E-2</v>
      </c>
      <c r="BA10" s="1">
        <v>0</v>
      </c>
      <c r="BB10" s="1">
        <v>7.4200000000000002E-2</v>
      </c>
      <c r="BC10" s="1">
        <v>0.09</v>
      </c>
      <c r="BD10" s="1">
        <v>7.8200000000000006E-2</v>
      </c>
      <c r="BE10" s="1">
        <v>8.5000000000000006E-2</v>
      </c>
      <c r="BF10" s="1">
        <v>8.3599999999999994E-2</v>
      </c>
      <c r="BG10" s="1">
        <v>8.3799999999999999E-2</v>
      </c>
      <c r="BH10" s="1">
        <v>7.4099999999999999E-2</v>
      </c>
      <c r="BI10" s="1">
        <v>7.9299999999999995E-2</v>
      </c>
      <c r="BJ10" s="1">
        <v>7.3599999999999999E-2</v>
      </c>
      <c r="BK10" s="1">
        <v>8.3199999999999996E-2</v>
      </c>
      <c r="BL10" s="1">
        <v>8.9599999999999999E-2</v>
      </c>
      <c r="BM10" s="1">
        <v>7.0300000000000001E-2</v>
      </c>
    </row>
    <row r="11" spans="1:65" x14ac:dyDescent="0.3">
      <c r="A11" s="13" t="s">
        <v>188</v>
      </c>
      <c r="B11" s="1">
        <v>1.67E-2</v>
      </c>
      <c r="C11" s="1">
        <v>0</v>
      </c>
      <c r="D11" s="1">
        <v>1.67E-2</v>
      </c>
      <c r="E11" s="1">
        <v>1.72E-2</v>
      </c>
      <c r="F11" s="1">
        <v>1.78E-2</v>
      </c>
      <c r="G11" s="1">
        <v>1.6899999999999998E-2</v>
      </c>
      <c r="H11" s="1">
        <v>1.7000000000000001E-2</v>
      </c>
      <c r="I11" s="1">
        <v>1.7100000000000001E-2</v>
      </c>
      <c r="J11" s="1">
        <v>1.66E-2</v>
      </c>
      <c r="K11" s="1">
        <v>1.67E-2</v>
      </c>
      <c r="L11" s="1">
        <v>1.72E-2</v>
      </c>
      <c r="M11" s="1">
        <v>1.29E-2</v>
      </c>
      <c r="N11" s="1">
        <v>1.6E-2</v>
      </c>
      <c r="O11" s="1">
        <v>1.9199999999999998E-2</v>
      </c>
      <c r="P11" s="1">
        <v>1.21E-2</v>
      </c>
      <c r="Q11" s="1">
        <v>1.66E-2</v>
      </c>
      <c r="R11" s="1">
        <v>1.6199999999999999E-2</v>
      </c>
      <c r="S11" s="1">
        <v>1.9300000000000001E-2</v>
      </c>
      <c r="T11" s="1">
        <v>1.8700000000000001E-2</v>
      </c>
      <c r="U11" s="1">
        <v>1.5699999999999999E-2</v>
      </c>
      <c r="V11" s="1">
        <v>0</v>
      </c>
      <c r="W11" s="1">
        <v>0</v>
      </c>
      <c r="X11" s="1">
        <v>1.5299999999999999E-2</v>
      </c>
      <c r="Y11" s="1">
        <v>1.2699999999999999E-2</v>
      </c>
      <c r="Z11" s="1">
        <v>1.6899999999999998E-2</v>
      </c>
      <c r="AA11" s="1">
        <v>1.72E-2</v>
      </c>
      <c r="AB11" s="1">
        <v>0</v>
      </c>
      <c r="AC11" s="1">
        <v>1.7899999999999999E-2</v>
      </c>
      <c r="AD11" s="1">
        <v>1.6199999999999999E-2</v>
      </c>
      <c r="AE11" s="1">
        <v>0</v>
      </c>
      <c r="AF11" s="1">
        <v>1.78E-2</v>
      </c>
      <c r="AG11" s="1">
        <v>0</v>
      </c>
      <c r="AH11" s="1">
        <v>1.49E-2</v>
      </c>
      <c r="AI11" s="1">
        <v>1.4E-2</v>
      </c>
      <c r="AJ11" s="1">
        <v>1.3299999999999999E-2</v>
      </c>
      <c r="AK11" s="1">
        <v>1.4200000000000001E-2</v>
      </c>
      <c r="AL11" s="1">
        <v>1.6500000000000001E-2</v>
      </c>
      <c r="AM11" s="1">
        <v>1.43E-2</v>
      </c>
      <c r="AN11" s="1">
        <v>1.7100000000000001E-2</v>
      </c>
      <c r="AO11" s="1">
        <v>1.66E-2</v>
      </c>
      <c r="AP11" s="1">
        <v>0</v>
      </c>
      <c r="AQ11" s="1">
        <v>0</v>
      </c>
      <c r="AR11" s="1" t="s">
        <v>160</v>
      </c>
      <c r="AS11" s="1">
        <v>0</v>
      </c>
      <c r="AT11" s="1">
        <v>1.7600000000000001E-2</v>
      </c>
      <c r="AU11" s="1">
        <v>1.83E-2</v>
      </c>
      <c r="AV11" s="1">
        <v>1.84E-2</v>
      </c>
      <c r="AW11" s="1">
        <v>0</v>
      </c>
      <c r="AX11" s="1">
        <v>1.5599999999999999E-2</v>
      </c>
      <c r="AY11" s="1">
        <v>1.8800000000000001E-2</v>
      </c>
      <c r="AZ11" s="1">
        <v>1.7999999999999999E-2</v>
      </c>
      <c r="BA11" s="1">
        <v>1.7100000000000001E-2</v>
      </c>
      <c r="BB11" s="1">
        <v>1.7399999999999999E-2</v>
      </c>
      <c r="BC11" s="1">
        <v>1.8499999999999999E-2</v>
      </c>
      <c r="BD11" s="1">
        <v>1.8100000000000002E-2</v>
      </c>
      <c r="BE11" s="1">
        <v>1.72E-2</v>
      </c>
      <c r="BF11" s="1">
        <v>1.7100000000000001E-2</v>
      </c>
      <c r="BG11" s="1">
        <v>1.7100000000000001E-2</v>
      </c>
      <c r="BH11" s="1">
        <v>1.5100000000000001E-2</v>
      </c>
      <c r="BI11" s="1">
        <v>1.43E-2</v>
      </c>
      <c r="BJ11" s="1">
        <v>1.37E-2</v>
      </c>
      <c r="BK11" s="1">
        <v>1.72E-2</v>
      </c>
      <c r="BL11" s="1">
        <v>1.5100000000000001E-2</v>
      </c>
      <c r="BM11" s="1">
        <v>1.49E-2</v>
      </c>
    </row>
    <row r="12" spans="1:65" x14ac:dyDescent="0.3">
      <c r="A12" s="13" t="s">
        <v>165</v>
      </c>
      <c r="B12" s="1">
        <v>1.32E-2</v>
      </c>
      <c r="C12" s="1">
        <v>1.37E-2</v>
      </c>
      <c r="D12" s="1">
        <v>1.38E-2</v>
      </c>
      <c r="E12" s="1">
        <v>1.3100000000000001E-2</v>
      </c>
      <c r="F12" s="1">
        <v>1.3599999999999999E-2</v>
      </c>
      <c r="G12" s="1">
        <v>1.34E-2</v>
      </c>
      <c r="H12" s="1">
        <v>1.32E-2</v>
      </c>
      <c r="I12" s="1">
        <v>1.35E-2</v>
      </c>
      <c r="J12" s="1">
        <v>1.3299999999999999E-2</v>
      </c>
      <c r="K12" s="1">
        <v>1.37E-2</v>
      </c>
      <c r="L12" s="1">
        <v>1.4200000000000001E-2</v>
      </c>
      <c r="M12" s="1">
        <v>1.29E-2</v>
      </c>
      <c r="N12" s="1">
        <v>1.38E-2</v>
      </c>
      <c r="O12" s="1">
        <v>1.29E-2</v>
      </c>
      <c r="P12" s="1">
        <v>0</v>
      </c>
      <c r="Q12" s="1">
        <v>1.35E-2</v>
      </c>
      <c r="R12" s="1">
        <v>1.55E-2</v>
      </c>
      <c r="S12" s="1">
        <v>1.14E-2</v>
      </c>
      <c r="T12" s="1">
        <v>1.2200000000000001E-2</v>
      </c>
      <c r="U12" s="1">
        <v>1.4E-2</v>
      </c>
      <c r="V12" s="1">
        <v>1.4200000000000001E-2</v>
      </c>
      <c r="W12" s="1">
        <v>1.3899999999999999E-2</v>
      </c>
      <c r="X12" s="1">
        <v>1.41E-2</v>
      </c>
      <c r="Y12" s="1">
        <v>1.21E-2</v>
      </c>
      <c r="Z12" s="1">
        <v>1.3899999999999999E-2</v>
      </c>
      <c r="AA12" s="1">
        <v>1.35E-2</v>
      </c>
      <c r="AB12" s="1">
        <v>1.38E-2</v>
      </c>
      <c r="AC12" s="1">
        <v>1.3899999999999999E-2</v>
      </c>
      <c r="AD12" s="1">
        <v>1.43E-2</v>
      </c>
      <c r="AE12" s="1">
        <v>1.38E-2</v>
      </c>
      <c r="AF12" s="1">
        <v>1.3100000000000001E-2</v>
      </c>
      <c r="AG12" s="1">
        <v>1.3299999999999999E-2</v>
      </c>
      <c r="AH12" s="1">
        <v>1.3899999999999999E-2</v>
      </c>
      <c r="AI12" s="1">
        <v>1.3299999999999999E-2</v>
      </c>
      <c r="AJ12" s="1">
        <v>1.2800000000000001E-2</v>
      </c>
      <c r="AK12" s="1">
        <v>1.37E-2</v>
      </c>
      <c r="AL12" s="1">
        <v>1.2800000000000001E-2</v>
      </c>
      <c r="AM12" s="1">
        <v>1.17E-2</v>
      </c>
      <c r="AN12" s="1">
        <v>1.3599999999999999E-2</v>
      </c>
      <c r="AO12" s="1">
        <v>1.44E-2</v>
      </c>
      <c r="AP12" s="1">
        <v>1.4200000000000001E-2</v>
      </c>
      <c r="AQ12" s="1">
        <v>1.4500000000000001E-2</v>
      </c>
      <c r="AR12" s="1">
        <v>1.41E-2</v>
      </c>
      <c r="AS12" s="1">
        <v>1.41E-2</v>
      </c>
      <c r="AT12" s="1">
        <v>1.29E-2</v>
      </c>
      <c r="AU12" s="1">
        <v>1.3599999999999999E-2</v>
      </c>
      <c r="AV12" s="1">
        <v>1.43E-2</v>
      </c>
      <c r="AW12" s="1">
        <v>1.4E-2</v>
      </c>
      <c r="AX12" s="1">
        <v>1.2200000000000001E-2</v>
      </c>
      <c r="AY12" s="1">
        <v>1.34E-2</v>
      </c>
      <c r="AZ12" s="1">
        <v>1.3100000000000001E-2</v>
      </c>
      <c r="BA12" s="1">
        <v>1.34E-2</v>
      </c>
      <c r="BB12" s="1">
        <v>1.34E-2</v>
      </c>
      <c r="BC12" s="1">
        <v>1.35E-2</v>
      </c>
      <c r="BD12" s="1">
        <v>1.2500000000000001E-2</v>
      </c>
      <c r="BE12" s="1">
        <v>1.24E-2</v>
      </c>
      <c r="BF12" s="1">
        <v>1.3599999999999999E-2</v>
      </c>
      <c r="BG12" s="1">
        <v>1.32E-2</v>
      </c>
      <c r="BH12" s="1">
        <v>1.3100000000000001E-2</v>
      </c>
      <c r="BI12" s="1">
        <v>1.35E-2</v>
      </c>
      <c r="BJ12" s="1">
        <v>1.2999999999999999E-2</v>
      </c>
      <c r="BK12" s="1">
        <v>1.3299999999999999E-2</v>
      </c>
      <c r="BL12" s="1">
        <v>1.3899999999999999E-2</v>
      </c>
      <c r="BM12" s="1">
        <v>1.32E-2</v>
      </c>
    </row>
    <row r="13" spans="1:65" x14ac:dyDescent="0.3">
      <c r="A13" s="13" t="s">
        <v>166</v>
      </c>
      <c r="B13" s="1">
        <v>2.1299999999999999E-2</v>
      </c>
      <c r="C13" s="1">
        <v>2.3800000000000002E-2</v>
      </c>
      <c r="D13" s="1">
        <v>2.18E-2</v>
      </c>
      <c r="E13" s="1">
        <v>2.1399999999999999E-2</v>
      </c>
      <c r="F13" s="1">
        <v>2.5600000000000001E-2</v>
      </c>
      <c r="G13" s="1">
        <v>2.5000000000000001E-2</v>
      </c>
      <c r="H13" s="1">
        <v>2.3099999999999999E-2</v>
      </c>
      <c r="I13" s="1">
        <v>2.4299999999999999E-2</v>
      </c>
      <c r="J13" s="1">
        <v>2.3699999999999999E-2</v>
      </c>
      <c r="K13" s="1">
        <v>2.5499999999999998E-2</v>
      </c>
      <c r="L13" s="1">
        <v>2.5100000000000001E-2</v>
      </c>
      <c r="M13" s="1">
        <v>0</v>
      </c>
      <c r="N13" s="1">
        <v>2.2499999999999999E-2</v>
      </c>
      <c r="O13" s="1">
        <v>2.7400000000000001E-2</v>
      </c>
      <c r="P13" s="1">
        <v>0</v>
      </c>
      <c r="Q13" s="1">
        <v>2.2100000000000002E-2</v>
      </c>
      <c r="R13" s="1">
        <v>2.52E-2</v>
      </c>
      <c r="S13" s="1">
        <v>0.03</v>
      </c>
      <c r="T13" s="1">
        <v>0</v>
      </c>
      <c r="U13" s="1">
        <v>2.2700000000000001E-2</v>
      </c>
      <c r="V13" s="1">
        <v>2.4E-2</v>
      </c>
      <c r="W13" s="1">
        <v>2.63E-2</v>
      </c>
      <c r="X13" s="1">
        <v>2.1100000000000001E-2</v>
      </c>
      <c r="Y13" s="1">
        <v>2.1000000000000001E-2</v>
      </c>
      <c r="Z13" s="1">
        <v>2.41E-2</v>
      </c>
      <c r="AA13" s="1">
        <v>2.8000000000000001E-2</v>
      </c>
      <c r="AB13" s="1">
        <v>2.75E-2</v>
      </c>
      <c r="AC13" s="1">
        <v>2.63E-2</v>
      </c>
      <c r="AD13" s="1">
        <v>2.8299999999999999E-2</v>
      </c>
      <c r="AE13" s="1">
        <v>2.4199999999999999E-2</v>
      </c>
      <c r="AF13" s="1">
        <v>2.7E-2</v>
      </c>
      <c r="AG13" s="1">
        <v>0</v>
      </c>
      <c r="AH13" s="1">
        <v>2.35E-2</v>
      </c>
      <c r="AI13" s="1">
        <v>2.0899999999999998E-2</v>
      </c>
      <c r="AJ13" s="1">
        <v>2.12E-2</v>
      </c>
      <c r="AK13" s="1">
        <v>2.2499999999999999E-2</v>
      </c>
      <c r="AL13" s="1">
        <v>2.29E-2</v>
      </c>
      <c r="AM13" s="1">
        <v>2.0400000000000001E-2</v>
      </c>
      <c r="AN13" s="1">
        <v>2.5899999999999999E-2</v>
      </c>
      <c r="AO13" s="1">
        <v>2.6800000000000001E-2</v>
      </c>
      <c r="AP13" s="1">
        <v>2.64E-2</v>
      </c>
      <c r="AQ13" s="1">
        <v>2.5999999999999999E-2</v>
      </c>
      <c r="AR13" s="1">
        <v>2.6700000000000002E-2</v>
      </c>
      <c r="AS13" s="1">
        <v>2.46E-2</v>
      </c>
      <c r="AT13" s="1">
        <v>2.1299999999999999E-2</v>
      </c>
      <c r="AU13" s="1">
        <v>2.5999999999999999E-2</v>
      </c>
      <c r="AV13" s="1">
        <v>2.6599999999999999E-2</v>
      </c>
      <c r="AW13" s="1">
        <v>2.5700000000000001E-2</v>
      </c>
      <c r="AX13" s="1">
        <v>2.2700000000000001E-2</v>
      </c>
      <c r="AY13" s="1">
        <v>2.52E-2</v>
      </c>
      <c r="AZ13" s="1">
        <v>2.9399999999999999E-2</v>
      </c>
      <c r="BA13" s="1">
        <v>2.52E-2</v>
      </c>
      <c r="BB13" s="1">
        <v>2.6800000000000001E-2</v>
      </c>
      <c r="BC13" s="1">
        <v>2.8299999999999999E-2</v>
      </c>
      <c r="BD13" s="1">
        <v>0</v>
      </c>
      <c r="BE13" s="1">
        <v>0</v>
      </c>
      <c r="BF13" s="1">
        <v>2.6100000000000002E-2</v>
      </c>
      <c r="BG13" s="1">
        <v>2.81E-2</v>
      </c>
      <c r="BH13" s="1">
        <v>2.01E-2</v>
      </c>
      <c r="BI13" s="1">
        <v>1.9400000000000001E-2</v>
      </c>
      <c r="BJ13" s="1">
        <v>2.58E-2</v>
      </c>
      <c r="BK13" s="1">
        <v>2.35E-2</v>
      </c>
      <c r="BL13" s="1">
        <v>2.2200000000000001E-2</v>
      </c>
      <c r="BM13" s="1">
        <v>1.9800000000000002E-2</v>
      </c>
    </row>
    <row r="14" spans="1:65" x14ac:dyDescent="0.3">
      <c r="A14" s="13" t="s">
        <v>167</v>
      </c>
      <c r="B14" s="1">
        <v>1.9599999999999999E-2</v>
      </c>
      <c r="C14" s="1">
        <v>1.9599999999999999E-2</v>
      </c>
      <c r="D14" s="1">
        <v>1.9300000000000001E-2</v>
      </c>
      <c r="E14" s="1">
        <v>2.0400000000000001E-2</v>
      </c>
      <c r="F14" s="1">
        <v>1.9900000000000001E-2</v>
      </c>
      <c r="G14" s="1">
        <v>1.9699999999999999E-2</v>
      </c>
      <c r="H14" s="1">
        <v>1.9300000000000001E-2</v>
      </c>
      <c r="I14" s="1">
        <v>1.9900000000000001E-2</v>
      </c>
      <c r="J14" s="1">
        <v>2.0400000000000001E-2</v>
      </c>
      <c r="K14" s="1">
        <v>1.9599999999999999E-2</v>
      </c>
      <c r="L14" s="1">
        <v>1.95E-2</v>
      </c>
      <c r="M14" s="1">
        <v>1.9099999999999999E-2</v>
      </c>
      <c r="N14" s="1">
        <v>1.9199999999999998E-2</v>
      </c>
      <c r="O14" s="1">
        <v>1.8800000000000001E-2</v>
      </c>
      <c r="P14" s="1">
        <v>1.6899999999999998E-2</v>
      </c>
      <c r="Q14" s="1">
        <v>1.9900000000000001E-2</v>
      </c>
      <c r="R14" s="1">
        <v>1.9199999999999998E-2</v>
      </c>
      <c r="S14" s="1">
        <v>0</v>
      </c>
      <c r="T14" s="1">
        <v>1.9699999999999999E-2</v>
      </c>
      <c r="U14" s="1">
        <v>1.7999999999999999E-2</v>
      </c>
      <c r="V14" s="1">
        <v>1.9199999999999998E-2</v>
      </c>
      <c r="W14" s="1">
        <v>1.9199999999999998E-2</v>
      </c>
      <c r="X14" s="1">
        <v>1.7299999999999999E-2</v>
      </c>
      <c r="Y14" s="1">
        <v>1.6299999999999999E-2</v>
      </c>
      <c r="Z14" s="1">
        <v>1.95E-2</v>
      </c>
      <c r="AA14" s="1">
        <v>1.9E-2</v>
      </c>
      <c r="AB14" s="1">
        <v>1.9300000000000001E-2</v>
      </c>
      <c r="AC14" s="1">
        <v>1.8599999999999998E-2</v>
      </c>
      <c r="AD14" s="1">
        <v>1.9900000000000001E-2</v>
      </c>
      <c r="AE14" s="1">
        <v>2.0400000000000001E-2</v>
      </c>
      <c r="AF14" s="1">
        <v>1.8599999999999998E-2</v>
      </c>
      <c r="AG14" s="1">
        <v>1.89E-2</v>
      </c>
      <c r="AH14" s="1">
        <v>1.78E-2</v>
      </c>
      <c r="AI14" s="1">
        <v>1.8700000000000001E-2</v>
      </c>
      <c r="AJ14" s="1">
        <v>1.7299999999999999E-2</v>
      </c>
      <c r="AK14" s="1">
        <v>1.67E-2</v>
      </c>
      <c r="AL14" s="1">
        <v>1.9E-2</v>
      </c>
      <c r="AM14" s="1">
        <v>1.7999999999999999E-2</v>
      </c>
      <c r="AN14" s="1">
        <v>1.9E-2</v>
      </c>
      <c r="AO14" s="1">
        <v>1.8800000000000001E-2</v>
      </c>
      <c r="AP14" s="1">
        <v>1.89E-2</v>
      </c>
      <c r="AQ14" s="1">
        <v>1.9099999999999999E-2</v>
      </c>
      <c r="AR14" s="1">
        <v>1.8499999999999999E-2</v>
      </c>
      <c r="AS14" s="1">
        <v>1.8800000000000001E-2</v>
      </c>
      <c r="AT14" s="1">
        <v>1.83E-2</v>
      </c>
      <c r="AU14" s="1">
        <v>1.9199999999999998E-2</v>
      </c>
      <c r="AV14" s="1">
        <v>1.9800000000000002E-2</v>
      </c>
      <c r="AW14" s="1">
        <v>1.95E-2</v>
      </c>
      <c r="AX14" s="1">
        <v>1.7299999999999999E-2</v>
      </c>
      <c r="AY14" s="1">
        <v>1.8700000000000001E-2</v>
      </c>
      <c r="AZ14" s="1">
        <v>1.9800000000000002E-2</v>
      </c>
      <c r="BA14" s="1">
        <v>1.95E-2</v>
      </c>
      <c r="BB14" s="1">
        <v>1.9400000000000001E-2</v>
      </c>
      <c r="BC14" s="1">
        <v>1.8499999999999999E-2</v>
      </c>
      <c r="BD14" s="1">
        <v>1.9599999999999999E-2</v>
      </c>
      <c r="BE14" s="1">
        <v>1.9599999999999999E-2</v>
      </c>
      <c r="BF14" s="1">
        <v>1.8599999999999998E-2</v>
      </c>
      <c r="BG14" s="1">
        <v>1.89E-2</v>
      </c>
      <c r="BH14" s="1">
        <v>1.72E-2</v>
      </c>
      <c r="BI14" s="1">
        <v>1.7399999999999999E-2</v>
      </c>
      <c r="BJ14" s="1">
        <v>1.6500000000000001E-2</v>
      </c>
      <c r="BK14" s="1">
        <v>1.7500000000000002E-2</v>
      </c>
      <c r="BL14" s="1">
        <v>1.72E-2</v>
      </c>
      <c r="BM14" s="1">
        <v>1.6899999999999998E-2</v>
      </c>
    </row>
    <row r="15" spans="1:65" x14ac:dyDescent="0.3">
      <c r="A15" s="13" t="s">
        <v>189</v>
      </c>
      <c r="B15" s="1">
        <v>0</v>
      </c>
      <c r="C15" s="1">
        <v>0</v>
      </c>
      <c r="D15" s="1">
        <v>1.17E-2</v>
      </c>
      <c r="E15" s="1">
        <v>0</v>
      </c>
      <c r="F15" s="1">
        <v>1.1900000000000001E-2</v>
      </c>
      <c r="G15" s="1">
        <v>0</v>
      </c>
      <c r="H15" s="1">
        <v>1.1900000000000001E-2</v>
      </c>
      <c r="I15" s="1">
        <v>1.1900000000000001E-2</v>
      </c>
      <c r="J15" s="1">
        <v>1.1900000000000001E-2</v>
      </c>
      <c r="K15" s="1">
        <v>0</v>
      </c>
      <c r="L15" s="1">
        <v>1.15E-2</v>
      </c>
      <c r="M15" s="1">
        <v>1.1599999999999999E-2</v>
      </c>
      <c r="N15" s="1">
        <v>1.1900000000000001E-2</v>
      </c>
      <c r="O15" s="1">
        <v>0</v>
      </c>
      <c r="P15" s="1">
        <v>0</v>
      </c>
      <c r="Q15" s="1">
        <v>1.23E-2</v>
      </c>
      <c r="R15" s="1">
        <v>1.4999999999999999E-2</v>
      </c>
      <c r="S15" s="1">
        <v>1.0699999999999999E-2</v>
      </c>
      <c r="T15" s="1">
        <v>1.11E-2</v>
      </c>
      <c r="U15" s="1">
        <v>1.09E-2</v>
      </c>
      <c r="V15" s="1">
        <v>0</v>
      </c>
      <c r="W15" s="1">
        <v>1.23E-2</v>
      </c>
      <c r="X15" s="1">
        <v>1.0800000000000001E-2</v>
      </c>
      <c r="Y15" s="1">
        <v>1.12E-2</v>
      </c>
      <c r="Z15" s="1">
        <v>1.21E-2</v>
      </c>
      <c r="AA15" s="1">
        <v>1.23E-2</v>
      </c>
      <c r="AB15" s="1">
        <v>1.24E-2</v>
      </c>
      <c r="AC15" s="1">
        <v>0</v>
      </c>
      <c r="AD15" s="1">
        <v>1.2200000000000001E-2</v>
      </c>
      <c r="AE15" s="1">
        <v>1.1900000000000001E-2</v>
      </c>
      <c r="AF15" s="1">
        <v>1.18E-2</v>
      </c>
      <c r="AG15" s="1">
        <v>1.23E-2</v>
      </c>
      <c r="AH15" s="1">
        <v>1.21E-2</v>
      </c>
      <c r="AI15" s="1">
        <v>1.1599999999999999E-2</v>
      </c>
      <c r="AJ15" s="1">
        <v>1.17E-2</v>
      </c>
      <c r="AK15" s="1">
        <v>1.12E-2</v>
      </c>
      <c r="AL15" s="1">
        <v>1.2200000000000001E-2</v>
      </c>
      <c r="AM15" s="1">
        <v>1.11E-2</v>
      </c>
      <c r="AN15" s="1">
        <v>1.21E-2</v>
      </c>
      <c r="AO15" s="1">
        <v>0</v>
      </c>
      <c r="AP15" s="1">
        <v>0</v>
      </c>
      <c r="AQ15" s="1">
        <v>0</v>
      </c>
      <c r="AR15" s="1">
        <v>1.2200000000000001E-2</v>
      </c>
      <c r="AS15" s="1">
        <v>1.18E-2</v>
      </c>
      <c r="AT15" s="1">
        <v>0</v>
      </c>
      <c r="AU15" s="1">
        <v>1.2E-2</v>
      </c>
      <c r="AV15" s="1">
        <v>1.24E-2</v>
      </c>
      <c r="AW15" s="1">
        <v>1.18E-2</v>
      </c>
      <c r="AX15" s="1">
        <v>1.1599999999999999E-2</v>
      </c>
      <c r="AY15" s="1">
        <v>1.26E-2</v>
      </c>
      <c r="AZ15" s="1">
        <v>1.26E-2</v>
      </c>
      <c r="BA15" s="1">
        <v>1.2500000000000001E-2</v>
      </c>
      <c r="BB15" s="1">
        <v>1.26E-2</v>
      </c>
      <c r="BC15" s="1">
        <v>1.2500000000000001E-2</v>
      </c>
      <c r="BD15" s="1">
        <v>0</v>
      </c>
      <c r="BE15" s="1">
        <v>1.1900000000000001E-2</v>
      </c>
      <c r="BF15" s="1">
        <v>1.17E-2</v>
      </c>
      <c r="BG15" s="1">
        <v>1.1900000000000001E-2</v>
      </c>
      <c r="BH15" s="1">
        <v>1.0699999999999999E-2</v>
      </c>
      <c r="BI15" s="1">
        <v>1.06E-2</v>
      </c>
      <c r="BJ15" s="1">
        <v>1.14E-2</v>
      </c>
      <c r="BK15" s="1">
        <v>1.15E-2</v>
      </c>
      <c r="BL15" s="1">
        <v>1.0500000000000001E-2</v>
      </c>
      <c r="BM15" s="1">
        <v>1.09E-2</v>
      </c>
    </row>
    <row r="16" spans="1:65" x14ac:dyDescent="0.3">
      <c r="A16" s="13" t="s">
        <v>190</v>
      </c>
      <c r="B16" s="1">
        <v>4.82E-2</v>
      </c>
      <c r="C16" s="1">
        <v>4.9000000000000002E-2</v>
      </c>
      <c r="D16" s="1">
        <v>5.0599999999999999E-2</v>
      </c>
      <c r="E16" s="1">
        <v>4.9700000000000001E-2</v>
      </c>
      <c r="F16" s="1">
        <v>4.9399999999999999E-2</v>
      </c>
      <c r="G16" s="1">
        <v>5.1499999999999997E-2</v>
      </c>
      <c r="H16" s="1">
        <v>4.8000000000000001E-2</v>
      </c>
      <c r="I16" s="1">
        <v>4.9500000000000002E-2</v>
      </c>
      <c r="J16" s="1">
        <v>5.04E-2</v>
      </c>
      <c r="K16" s="1">
        <v>5.16E-2</v>
      </c>
      <c r="L16" s="1">
        <v>4.8300000000000003E-2</v>
      </c>
      <c r="M16" s="1">
        <v>0</v>
      </c>
      <c r="N16" s="1">
        <v>4.7500000000000001E-2</v>
      </c>
      <c r="O16" s="1">
        <v>0.05</v>
      </c>
      <c r="P16" s="1">
        <v>0</v>
      </c>
      <c r="Q16" s="1">
        <v>4.8399999999999999E-2</v>
      </c>
      <c r="R16" s="1">
        <v>4.7399999999999998E-2</v>
      </c>
      <c r="S16" s="1">
        <v>4.7199999999999999E-2</v>
      </c>
      <c r="T16" s="1">
        <v>4.9099999999999998E-2</v>
      </c>
      <c r="U16" s="1">
        <v>4.3299999999999998E-2</v>
      </c>
      <c r="V16" s="1">
        <v>4.8000000000000001E-2</v>
      </c>
      <c r="W16" s="1">
        <v>4.82E-2</v>
      </c>
      <c r="X16" s="1">
        <v>4.36E-2</v>
      </c>
      <c r="Y16" s="1">
        <v>4.7300000000000002E-2</v>
      </c>
      <c r="Z16" s="1">
        <v>4.8599999999999997E-2</v>
      </c>
      <c r="AA16" s="1">
        <v>5.0299999999999997E-2</v>
      </c>
      <c r="AB16" s="1">
        <v>4.9500000000000002E-2</v>
      </c>
      <c r="AC16" s="1">
        <v>4.7899999999999998E-2</v>
      </c>
      <c r="AD16" s="1">
        <v>4.9399999999999999E-2</v>
      </c>
      <c r="AE16" s="1">
        <v>4.7300000000000002E-2</v>
      </c>
      <c r="AF16" s="1">
        <v>4.7800000000000002E-2</v>
      </c>
      <c r="AG16" s="1">
        <v>4.7399999999999998E-2</v>
      </c>
      <c r="AH16" s="1">
        <v>4.65E-2</v>
      </c>
      <c r="AI16" s="1">
        <v>4.5499999999999999E-2</v>
      </c>
      <c r="AJ16" s="1">
        <v>4.4299999999999999E-2</v>
      </c>
      <c r="AK16" s="1">
        <v>4.7399999999999998E-2</v>
      </c>
      <c r="AL16" s="1">
        <v>4.4999999999999998E-2</v>
      </c>
      <c r="AM16" s="1">
        <v>4.53E-2</v>
      </c>
      <c r="AN16" s="1">
        <v>4.87E-2</v>
      </c>
      <c r="AO16" s="1">
        <v>4.7699999999999999E-2</v>
      </c>
      <c r="AP16" s="1">
        <v>4.7600000000000003E-2</v>
      </c>
      <c r="AQ16" s="1">
        <v>4.6899999999999997E-2</v>
      </c>
      <c r="AR16" s="1">
        <v>4.9200000000000001E-2</v>
      </c>
      <c r="AS16" s="1">
        <v>4.9700000000000001E-2</v>
      </c>
      <c r="AT16" s="1">
        <v>4.5100000000000001E-2</v>
      </c>
      <c r="AU16" s="1">
        <v>4.9399999999999999E-2</v>
      </c>
      <c r="AV16" s="1">
        <v>4.9700000000000001E-2</v>
      </c>
      <c r="AW16" s="1">
        <v>4.9799999999999997E-2</v>
      </c>
      <c r="AX16" s="1">
        <v>4.5600000000000002E-2</v>
      </c>
      <c r="AY16" s="1">
        <v>4.82E-2</v>
      </c>
      <c r="AZ16" s="1">
        <v>4.8599999999999997E-2</v>
      </c>
      <c r="BA16" s="1">
        <v>4.7699999999999999E-2</v>
      </c>
      <c r="BB16" s="1">
        <v>4.82E-2</v>
      </c>
      <c r="BC16" s="1">
        <v>4.8500000000000001E-2</v>
      </c>
      <c r="BD16" s="1">
        <v>4.9500000000000002E-2</v>
      </c>
      <c r="BE16" s="1">
        <v>4.9099999999999998E-2</v>
      </c>
      <c r="BF16" s="1">
        <v>4.99E-2</v>
      </c>
      <c r="BG16" s="1">
        <v>5.2699999999999997E-2</v>
      </c>
      <c r="BH16" s="1">
        <v>4.24E-2</v>
      </c>
      <c r="BI16" s="1">
        <v>4.4400000000000002E-2</v>
      </c>
      <c r="BJ16" s="1">
        <v>4.5999999999999999E-2</v>
      </c>
      <c r="BK16" s="1">
        <v>4.7500000000000001E-2</v>
      </c>
      <c r="BL16" s="1">
        <v>4.4200000000000003E-2</v>
      </c>
      <c r="BM16" s="1">
        <v>4.3900000000000002E-2</v>
      </c>
    </row>
    <row r="17" spans="1:65" x14ac:dyDescent="0.3">
      <c r="A17" s="13" t="s">
        <v>169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8.2199999999999995E-2</v>
      </c>
      <c r="N17" s="1">
        <v>0</v>
      </c>
      <c r="O17" s="1">
        <v>0</v>
      </c>
      <c r="P17" s="1">
        <v>8.0799999999999997E-2</v>
      </c>
      <c r="Q17" s="1">
        <v>0</v>
      </c>
      <c r="R17" s="1">
        <v>7.1499999999999994E-2</v>
      </c>
      <c r="S17" s="1">
        <v>0</v>
      </c>
      <c r="T17" s="1">
        <v>0</v>
      </c>
      <c r="U17" s="1">
        <v>5.0500000000000003E-2</v>
      </c>
      <c r="V17" s="1">
        <v>0</v>
      </c>
      <c r="W17" s="1">
        <v>0</v>
      </c>
      <c r="X17" s="1">
        <v>5.2699999999999997E-2</v>
      </c>
      <c r="Y17" s="1">
        <v>5.5899999999999998E-2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5.45E-2</v>
      </c>
      <c r="AJ17" s="1">
        <v>5.2900000000000003E-2</v>
      </c>
      <c r="AK17" s="1">
        <v>5.5300000000000002E-2</v>
      </c>
      <c r="AL17" s="1">
        <v>0</v>
      </c>
      <c r="AM17" s="1">
        <v>5.5E-2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5.3100000000000001E-2</v>
      </c>
      <c r="BG17" s="1">
        <v>5.5599999999999997E-2</v>
      </c>
      <c r="BH17" s="1">
        <v>0.05</v>
      </c>
      <c r="BI17" s="1">
        <v>5.0900000000000001E-2</v>
      </c>
      <c r="BJ17" s="1">
        <v>5.6099999999999997E-2</v>
      </c>
      <c r="BK17" s="1">
        <v>0</v>
      </c>
      <c r="BL17" s="1">
        <v>5.1799999999999999E-2</v>
      </c>
      <c r="BM17" s="1">
        <v>5.1200000000000002E-2</v>
      </c>
    </row>
    <row r="18" spans="1:65" x14ac:dyDescent="0.3">
      <c r="A18" s="13" t="s">
        <v>170</v>
      </c>
      <c r="B18" s="1">
        <v>5.62E-2</v>
      </c>
      <c r="C18" s="1">
        <v>0</v>
      </c>
      <c r="D18" s="1">
        <v>5.4699999999999999E-2</v>
      </c>
      <c r="E18" s="1">
        <v>5.5199999999999999E-2</v>
      </c>
      <c r="F18" s="1">
        <v>0</v>
      </c>
      <c r="G18" s="1">
        <v>6.1199999999999997E-2</v>
      </c>
      <c r="H18" s="1">
        <v>0</v>
      </c>
      <c r="I18" s="1">
        <v>5.3400000000000003E-2</v>
      </c>
      <c r="J18" s="1">
        <v>5.4600000000000003E-2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5.21E-2</v>
      </c>
      <c r="R18" s="1">
        <v>5.8500000000000003E-2</v>
      </c>
      <c r="S18" s="1">
        <v>6.1699999999999998E-2</v>
      </c>
      <c r="T18" s="1">
        <v>5.7500000000000002E-2</v>
      </c>
      <c r="U18" s="1">
        <v>5.4699999999999999E-2</v>
      </c>
      <c r="V18" s="1">
        <v>0</v>
      </c>
      <c r="W18" s="1">
        <v>0</v>
      </c>
      <c r="X18" s="1">
        <v>5.6300000000000003E-2</v>
      </c>
      <c r="Y18" s="1">
        <v>5.3400000000000003E-2</v>
      </c>
      <c r="Z18" s="1">
        <v>0</v>
      </c>
      <c r="AA18" s="1">
        <v>0</v>
      </c>
      <c r="AB18" s="1">
        <v>0</v>
      </c>
      <c r="AC18" s="1">
        <v>0</v>
      </c>
      <c r="AD18" s="1">
        <v>0.06</v>
      </c>
      <c r="AE18" s="1">
        <v>5.96E-2</v>
      </c>
      <c r="AF18" s="1">
        <v>5.3100000000000001E-2</v>
      </c>
      <c r="AG18" s="1">
        <v>5.4600000000000003E-2</v>
      </c>
      <c r="AH18" s="1">
        <v>5.45E-2</v>
      </c>
      <c r="AI18" s="1">
        <v>5.3900000000000003E-2</v>
      </c>
      <c r="AJ18" s="1">
        <v>5.4699999999999999E-2</v>
      </c>
      <c r="AK18" s="1">
        <v>5.7200000000000001E-2</v>
      </c>
      <c r="AL18" s="1">
        <v>0</v>
      </c>
      <c r="AM18" s="1">
        <v>5.3499999999999999E-2</v>
      </c>
      <c r="AN18" s="1">
        <v>5.5100000000000003E-2</v>
      </c>
      <c r="AO18" s="1">
        <v>5.5599999999999997E-2</v>
      </c>
      <c r="AP18" s="1">
        <v>0</v>
      </c>
      <c r="AQ18" s="1">
        <v>0</v>
      </c>
      <c r="AR18" s="1">
        <v>5.74E-2</v>
      </c>
      <c r="AS18" s="1">
        <v>5.6300000000000003E-2</v>
      </c>
      <c r="AT18" s="1">
        <v>6.0100000000000001E-2</v>
      </c>
      <c r="AU18" s="1">
        <v>0</v>
      </c>
      <c r="AV18" s="1">
        <v>0</v>
      </c>
      <c r="AW18" s="1">
        <v>5.04E-2</v>
      </c>
      <c r="AX18" s="1">
        <v>0</v>
      </c>
      <c r="AY18" s="1">
        <v>5.2200000000000003E-2</v>
      </c>
      <c r="AZ18" s="1">
        <v>5.7200000000000001E-2</v>
      </c>
      <c r="BA18" s="1">
        <v>5.9200000000000003E-2</v>
      </c>
      <c r="BB18" s="1">
        <v>0</v>
      </c>
      <c r="BC18" s="1">
        <v>5.7500000000000002E-2</v>
      </c>
      <c r="BD18" s="1">
        <v>0</v>
      </c>
      <c r="BE18" s="1">
        <v>5.5399999999999998E-2</v>
      </c>
      <c r="BF18" s="1">
        <v>5.8599999999999999E-2</v>
      </c>
      <c r="BG18" s="1">
        <v>5.8500000000000003E-2</v>
      </c>
      <c r="BH18" s="1">
        <v>5.7200000000000001E-2</v>
      </c>
      <c r="BI18" s="1">
        <v>4.5199999999999997E-2</v>
      </c>
      <c r="BJ18" s="1">
        <v>5.6800000000000003E-2</v>
      </c>
      <c r="BK18" s="1">
        <v>5.5E-2</v>
      </c>
      <c r="BL18" s="1">
        <v>5.8500000000000003E-2</v>
      </c>
      <c r="BM18" s="1">
        <v>5.4600000000000003E-2</v>
      </c>
    </row>
    <row r="19" spans="1:65" x14ac:dyDescent="0.3">
      <c r="A19" s="13" t="s">
        <v>171</v>
      </c>
      <c r="B19" s="1">
        <v>0</v>
      </c>
      <c r="C19" s="1">
        <v>0</v>
      </c>
      <c r="D19" s="1">
        <v>0.64219999999999999</v>
      </c>
      <c r="E19" s="1">
        <v>0.66439999999999999</v>
      </c>
      <c r="F19" s="1">
        <v>0.64510000000000001</v>
      </c>
      <c r="G19" s="1">
        <v>0</v>
      </c>
      <c r="H19" s="1">
        <v>0.66600000000000004</v>
      </c>
      <c r="I19" s="1">
        <v>0.62739999999999996</v>
      </c>
      <c r="J19" s="1">
        <v>0.61809999999999998</v>
      </c>
      <c r="K19" s="1">
        <v>0</v>
      </c>
      <c r="L19" s="1">
        <v>0.64580000000000004</v>
      </c>
      <c r="M19" s="1">
        <v>0.61860000000000004</v>
      </c>
      <c r="N19" s="1">
        <v>0.6401</v>
      </c>
      <c r="O19" s="1">
        <v>0.63649999999999995</v>
      </c>
      <c r="P19" s="1">
        <v>0.6</v>
      </c>
      <c r="Q19" s="1">
        <v>0.63649999999999995</v>
      </c>
      <c r="R19" s="1">
        <v>0.68010000000000004</v>
      </c>
      <c r="S19" s="1">
        <v>0</v>
      </c>
      <c r="T19" s="1">
        <v>0.59899999999999998</v>
      </c>
      <c r="U19" s="1">
        <v>0.56069999999999998</v>
      </c>
      <c r="V19" s="1">
        <v>0</v>
      </c>
      <c r="W19" s="1">
        <v>0</v>
      </c>
      <c r="X19" s="1">
        <v>0.60289999999999999</v>
      </c>
      <c r="Y19" s="1">
        <v>0.58350000000000002</v>
      </c>
      <c r="Z19" s="1">
        <v>0.6391</v>
      </c>
      <c r="AA19" s="1">
        <v>0.67079999999999995</v>
      </c>
      <c r="AB19" s="1">
        <v>0.64219999999999999</v>
      </c>
      <c r="AC19" s="1">
        <v>0.64049999999999996</v>
      </c>
      <c r="AD19" s="1">
        <v>0</v>
      </c>
      <c r="AE19" s="1">
        <v>0.66610000000000003</v>
      </c>
      <c r="AF19" s="1">
        <v>0.625</v>
      </c>
      <c r="AG19" s="1">
        <v>0</v>
      </c>
      <c r="AH19" s="1">
        <v>0.6351</v>
      </c>
      <c r="AI19" s="1">
        <v>0.61890000000000001</v>
      </c>
      <c r="AJ19" s="1">
        <v>0.5958</v>
      </c>
      <c r="AK19" s="1">
        <v>0.65580000000000005</v>
      </c>
      <c r="AL19" s="1">
        <v>0.67110000000000003</v>
      </c>
      <c r="AM19" s="1">
        <v>0.64829999999999999</v>
      </c>
      <c r="AN19" s="1">
        <v>0.66690000000000005</v>
      </c>
      <c r="AO19" s="1">
        <v>0.67879999999999996</v>
      </c>
      <c r="AP19" s="1">
        <v>0.69069999999999998</v>
      </c>
      <c r="AQ19" s="1">
        <v>0.64249999999999996</v>
      </c>
      <c r="AR19" s="1">
        <v>0.64</v>
      </c>
      <c r="AS19" s="1">
        <v>0</v>
      </c>
      <c r="AT19" s="1">
        <v>0.62460000000000004</v>
      </c>
      <c r="AU19" s="1">
        <v>0</v>
      </c>
      <c r="AV19" s="1">
        <v>0.65159999999999996</v>
      </c>
      <c r="AW19" s="1">
        <v>0.68689999999999996</v>
      </c>
      <c r="AX19" s="1">
        <v>0.64370000000000005</v>
      </c>
      <c r="AY19" s="1">
        <v>0.62690000000000001</v>
      </c>
      <c r="AZ19" s="1">
        <v>0.65549999999999997</v>
      </c>
      <c r="BA19" s="1">
        <v>0.64490000000000003</v>
      </c>
      <c r="BB19" s="1">
        <v>0.63360000000000005</v>
      </c>
      <c r="BC19" s="1">
        <v>0.66169999999999995</v>
      </c>
      <c r="BD19" s="1">
        <v>0.58889999999999998</v>
      </c>
      <c r="BE19" s="1">
        <v>0.61170000000000002</v>
      </c>
      <c r="BF19" s="1">
        <v>0.64470000000000005</v>
      </c>
      <c r="BG19" s="1">
        <v>0</v>
      </c>
      <c r="BH19" s="1">
        <v>0.65810000000000002</v>
      </c>
      <c r="BI19" s="1">
        <v>0.63660000000000005</v>
      </c>
      <c r="BJ19" s="1">
        <v>0.59709999999999996</v>
      </c>
      <c r="BK19" s="1">
        <v>0.63039999999999996</v>
      </c>
      <c r="BL19" s="1">
        <v>0.59209999999999996</v>
      </c>
      <c r="BM19" s="1">
        <v>0.6048</v>
      </c>
    </row>
    <row r="20" spans="1:65" x14ac:dyDescent="0.3">
      <c r="A20" s="13" t="s">
        <v>172</v>
      </c>
      <c r="B20" s="1">
        <v>0.24909999999999999</v>
      </c>
      <c r="C20" s="1">
        <v>0.25409999999999999</v>
      </c>
      <c r="D20" s="1">
        <v>0.2717</v>
      </c>
      <c r="E20" s="1">
        <v>0.24149999999999999</v>
      </c>
      <c r="F20" s="1">
        <v>0.27200000000000002</v>
      </c>
      <c r="G20" s="1">
        <v>0.29299999999999998</v>
      </c>
      <c r="H20" s="1">
        <v>0.25879999999999997</v>
      </c>
      <c r="I20" s="1">
        <v>0.31080000000000002</v>
      </c>
      <c r="J20" s="1">
        <v>0.2452</v>
      </c>
      <c r="K20" s="1">
        <v>0.27989999999999998</v>
      </c>
      <c r="L20" s="1">
        <v>0.27739999999999998</v>
      </c>
      <c r="M20" s="1">
        <v>0</v>
      </c>
      <c r="N20" s="1">
        <v>0.25990000000000002</v>
      </c>
      <c r="O20" s="1">
        <v>0.27939999999999998</v>
      </c>
      <c r="P20" s="1">
        <v>0.22689999999999999</v>
      </c>
      <c r="Q20" s="1">
        <v>0.24260000000000001</v>
      </c>
      <c r="R20" s="1">
        <v>0.26229999999999998</v>
      </c>
      <c r="S20" s="1">
        <v>0.29120000000000001</v>
      </c>
      <c r="T20" s="1">
        <v>0.26469999999999999</v>
      </c>
      <c r="U20" s="1">
        <v>0.20780000000000001</v>
      </c>
      <c r="V20" s="1">
        <v>0.28599999999999998</v>
      </c>
      <c r="W20" s="1">
        <v>0.2676</v>
      </c>
      <c r="X20" s="1">
        <v>0.29289999999999999</v>
      </c>
      <c r="Y20" s="1">
        <v>0.38550000000000001</v>
      </c>
      <c r="Z20" s="1">
        <v>0.26869999999999999</v>
      </c>
      <c r="AA20" s="1">
        <v>0.2591</v>
      </c>
      <c r="AB20" s="1">
        <v>0.26910000000000001</v>
      </c>
      <c r="AC20" s="1">
        <v>0.29699999999999999</v>
      </c>
      <c r="AD20" s="1">
        <v>0.2641</v>
      </c>
      <c r="AE20" s="1">
        <v>0.2893</v>
      </c>
      <c r="AF20" s="1">
        <v>0.27500000000000002</v>
      </c>
      <c r="AG20" s="1">
        <v>0.29830000000000001</v>
      </c>
      <c r="AH20" s="1">
        <v>0.27679999999999999</v>
      </c>
      <c r="AI20" s="1">
        <v>0.26679999999999998</v>
      </c>
      <c r="AJ20" s="1">
        <v>0.21829999999999999</v>
      </c>
      <c r="AK20" s="1">
        <v>0.2243</v>
      </c>
      <c r="AL20" s="1">
        <v>0.2424</v>
      </c>
      <c r="AM20" s="1">
        <v>0.25800000000000001</v>
      </c>
      <c r="AN20" s="1">
        <v>0.2903</v>
      </c>
      <c r="AO20" s="1">
        <v>0.2767</v>
      </c>
      <c r="AP20" s="1">
        <v>0.2737</v>
      </c>
      <c r="AQ20" s="1">
        <v>0.29110000000000003</v>
      </c>
      <c r="AR20" s="1">
        <v>0.26690000000000003</v>
      </c>
      <c r="AS20" s="1">
        <v>0.29010000000000002</v>
      </c>
      <c r="AT20" s="1">
        <v>0.24210000000000001</v>
      </c>
      <c r="AU20" s="1">
        <v>0.23069999999999999</v>
      </c>
      <c r="AV20" s="1">
        <v>0.25290000000000001</v>
      </c>
      <c r="AW20" s="1">
        <v>0.26200000000000001</v>
      </c>
      <c r="AX20" s="1">
        <v>0.2316</v>
      </c>
      <c r="AY20" s="1">
        <v>0.2296</v>
      </c>
      <c r="AZ20" s="1">
        <v>0.26600000000000001</v>
      </c>
      <c r="BA20" s="1">
        <v>0.25440000000000002</v>
      </c>
      <c r="BB20" s="1">
        <v>0.30420000000000003</v>
      </c>
      <c r="BC20" s="1">
        <v>0.2656</v>
      </c>
      <c r="BD20" s="1">
        <v>0.27050000000000002</v>
      </c>
      <c r="BE20" s="1">
        <v>0.2596</v>
      </c>
      <c r="BF20" s="1">
        <v>0.28949999999999998</v>
      </c>
      <c r="BG20" s="1">
        <v>0.26490000000000002</v>
      </c>
      <c r="BH20" s="1">
        <v>0.26619999999999999</v>
      </c>
      <c r="BI20" s="1">
        <v>0.23930000000000001</v>
      </c>
      <c r="BJ20" s="1">
        <v>0.24129999999999999</v>
      </c>
      <c r="BK20" s="1">
        <v>0.2727</v>
      </c>
      <c r="BL20" s="1">
        <v>0.2447</v>
      </c>
      <c r="BM20" s="1">
        <v>0.27600000000000002</v>
      </c>
    </row>
    <row r="21" spans="1:65" x14ac:dyDescent="0.3">
      <c r="A21" s="13" t="s">
        <v>173</v>
      </c>
      <c r="B21" s="1">
        <v>0.30359999999999998</v>
      </c>
      <c r="C21" s="1">
        <v>0.26200000000000001</v>
      </c>
      <c r="D21" s="1">
        <v>0.2656</v>
      </c>
      <c r="E21" s="1">
        <v>0.31359999999999999</v>
      </c>
      <c r="F21" s="1">
        <v>0.24560000000000001</v>
      </c>
      <c r="G21" s="1">
        <v>0.26469999999999999</v>
      </c>
      <c r="H21" s="1">
        <v>0.28360000000000002</v>
      </c>
      <c r="I21" s="1">
        <v>0.223</v>
      </c>
      <c r="J21" s="1">
        <v>0.29430000000000001</v>
      </c>
      <c r="K21" s="1">
        <v>0.2392</v>
      </c>
      <c r="L21" s="1">
        <v>0.25690000000000002</v>
      </c>
      <c r="M21" s="1">
        <v>0.24110000000000001</v>
      </c>
      <c r="N21" s="1">
        <v>0.26840000000000003</v>
      </c>
      <c r="O21" s="1">
        <v>0.28000000000000003</v>
      </c>
      <c r="P21" s="1">
        <v>0.2278</v>
      </c>
      <c r="Q21" s="1">
        <v>0.2306</v>
      </c>
      <c r="R21" s="1">
        <v>0.26819999999999999</v>
      </c>
      <c r="S21" s="1">
        <v>0.23710000000000001</v>
      </c>
      <c r="T21" s="1">
        <v>0.24</v>
      </c>
      <c r="U21" s="1">
        <v>0.24429999999999999</v>
      </c>
      <c r="V21" s="1">
        <v>0.24729999999999999</v>
      </c>
      <c r="W21" s="1">
        <v>0.27700000000000002</v>
      </c>
      <c r="X21" s="1">
        <v>0.26350000000000001</v>
      </c>
      <c r="Y21" s="1">
        <v>0.23350000000000001</v>
      </c>
      <c r="Z21" s="1">
        <v>0.26229999999999998</v>
      </c>
      <c r="AA21" s="1">
        <v>0.2482</v>
      </c>
      <c r="AB21" s="1">
        <v>0.27510000000000001</v>
      </c>
      <c r="AC21" s="1">
        <v>0.26800000000000002</v>
      </c>
      <c r="AD21" s="1">
        <v>0.2888</v>
      </c>
      <c r="AE21" s="1">
        <v>0.25419999999999998</v>
      </c>
      <c r="AF21" s="1">
        <v>0.28560000000000002</v>
      </c>
      <c r="AG21" s="1">
        <v>0.2666</v>
      </c>
      <c r="AH21" s="1">
        <v>0.2702</v>
      </c>
      <c r="AI21" s="1">
        <v>0.22750000000000001</v>
      </c>
      <c r="AJ21" s="1">
        <v>0.2545</v>
      </c>
      <c r="AK21" s="1">
        <v>0.22459999999999999</v>
      </c>
      <c r="AL21" s="1">
        <v>0.2893</v>
      </c>
      <c r="AM21" s="1">
        <v>0.23300000000000001</v>
      </c>
      <c r="AN21" s="1">
        <v>0.25919999999999999</v>
      </c>
      <c r="AO21" s="1">
        <v>0.26550000000000001</v>
      </c>
      <c r="AP21" s="1">
        <v>0.26</v>
      </c>
      <c r="AQ21" s="1">
        <v>0.29480000000000001</v>
      </c>
      <c r="AR21" s="1">
        <v>0.28310000000000002</v>
      </c>
      <c r="AS21" s="1">
        <v>0.31919999999999998</v>
      </c>
      <c r="AT21" s="1">
        <v>0.28920000000000001</v>
      </c>
      <c r="AU21" s="1">
        <v>0.27339999999999998</v>
      </c>
      <c r="AV21" s="1">
        <v>0.2394</v>
      </c>
      <c r="AW21" s="1">
        <v>0.28810000000000002</v>
      </c>
      <c r="AX21" s="1">
        <v>0.27010000000000001</v>
      </c>
      <c r="AY21" s="1">
        <v>0.33129999999999998</v>
      </c>
      <c r="AZ21" s="1">
        <v>0.24859999999999999</v>
      </c>
      <c r="BA21" s="1">
        <v>0.2722</v>
      </c>
      <c r="BB21" s="1">
        <v>0.29780000000000001</v>
      </c>
      <c r="BC21" s="1">
        <v>0.2747</v>
      </c>
      <c r="BD21" s="1">
        <v>0.23119999999999999</v>
      </c>
      <c r="BE21" s="1">
        <v>0.25159999999999999</v>
      </c>
      <c r="BF21" s="1">
        <v>0.29370000000000002</v>
      </c>
      <c r="BG21" s="1">
        <v>0.26889999999999997</v>
      </c>
      <c r="BH21" s="1">
        <v>0.28810000000000002</v>
      </c>
      <c r="BI21" s="1">
        <v>0.2445</v>
      </c>
      <c r="BJ21" s="1">
        <v>0.24299999999999999</v>
      </c>
      <c r="BK21" s="1">
        <v>0.27750000000000002</v>
      </c>
      <c r="BL21" s="1">
        <v>0.23499999999999999</v>
      </c>
      <c r="BM21" s="1">
        <v>0.2571</v>
      </c>
    </row>
    <row r="22" spans="1:65" x14ac:dyDescent="0.3">
      <c r="A22" s="13" t="s">
        <v>174</v>
      </c>
      <c r="B22" s="1">
        <v>0.2402</v>
      </c>
      <c r="C22" s="1">
        <v>0.24529999999999999</v>
      </c>
      <c r="D22" s="1">
        <v>0.2296</v>
      </c>
      <c r="E22" s="1">
        <v>0.245</v>
      </c>
      <c r="F22" s="1">
        <v>0.23449999999999999</v>
      </c>
      <c r="G22" s="1">
        <v>0.23930000000000001</v>
      </c>
      <c r="H22" s="1">
        <v>0.26429999999999998</v>
      </c>
      <c r="I22" s="1">
        <v>0.25940000000000002</v>
      </c>
      <c r="J22" s="1">
        <v>0.23980000000000001</v>
      </c>
      <c r="K22" s="1">
        <v>0.24399999999999999</v>
      </c>
      <c r="L22" s="1">
        <v>0.2344</v>
      </c>
      <c r="M22" s="1">
        <v>0.23549999999999999</v>
      </c>
      <c r="N22" s="1">
        <v>0.24060000000000001</v>
      </c>
      <c r="O22" s="1">
        <v>0.24660000000000001</v>
      </c>
      <c r="P22" s="1">
        <v>0.22339999999999999</v>
      </c>
      <c r="Q22" s="1">
        <v>0.2437</v>
      </c>
      <c r="R22" s="1">
        <v>0.25140000000000001</v>
      </c>
      <c r="S22" s="1">
        <v>0.2238</v>
      </c>
      <c r="T22" s="1">
        <v>0.23269999999999999</v>
      </c>
      <c r="U22" s="1">
        <v>0.21990000000000001</v>
      </c>
      <c r="V22" s="1">
        <v>0.25690000000000002</v>
      </c>
      <c r="W22" s="1">
        <v>0.24010000000000001</v>
      </c>
      <c r="X22" s="1">
        <v>0.21379999999999999</v>
      </c>
      <c r="Y22" s="1">
        <v>0.22459999999999999</v>
      </c>
      <c r="Z22" s="1">
        <v>0.25430000000000003</v>
      </c>
      <c r="AA22" s="1">
        <v>0.24490000000000001</v>
      </c>
      <c r="AB22" s="1">
        <v>0.2596</v>
      </c>
      <c r="AC22" s="1">
        <v>0.25409999999999999</v>
      </c>
      <c r="AD22" s="1">
        <v>0.24740000000000001</v>
      </c>
      <c r="AE22" s="1">
        <v>0.25059999999999999</v>
      </c>
      <c r="AF22" s="1">
        <v>0.2581</v>
      </c>
      <c r="AG22" s="1">
        <v>0.2404</v>
      </c>
      <c r="AH22" s="1">
        <v>0.24010000000000001</v>
      </c>
      <c r="AI22" s="1">
        <v>0.22439999999999999</v>
      </c>
      <c r="AJ22" s="1">
        <v>0.224</v>
      </c>
      <c r="AK22" s="1">
        <v>0.22689999999999999</v>
      </c>
      <c r="AL22" s="1">
        <v>0.23830000000000001</v>
      </c>
      <c r="AM22" s="1">
        <v>0.2261</v>
      </c>
      <c r="AN22" s="1">
        <v>0.24379999999999999</v>
      </c>
      <c r="AO22" s="1">
        <v>0.24979999999999999</v>
      </c>
      <c r="AP22" s="1">
        <v>0.25650000000000001</v>
      </c>
      <c r="AQ22" s="1">
        <v>0.24879999999999999</v>
      </c>
      <c r="AR22" s="1">
        <v>0.25850000000000001</v>
      </c>
      <c r="AS22" s="1">
        <v>0.2606</v>
      </c>
      <c r="AT22" s="1">
        <v>0.23799999999999999</v>
      </c>
      <c r="AU22" s="1">
        <v>0.25340000000000001</v>
      </c>
      <c r="AV22" s="1">
        <v>0.25469999999999998</v>
      </c>
      <c r="AW22" s="1">
        <v>0.24030000000000001</v>
      </c>
      <c r="AX22" s="1">
        <v>0.2422</v>
      </c>
      <c r="AY22" s="1">
        <v>0.2394</v>
      </c>
      <c r="AZ22" s="1">
        <v>0.25290000000000001</v>
      </c>
      <c r="BA22" s="1">
        <v>0.24979999999999999</v>
      </c>
      <c r="BB22" s="1">
        <v>0.26050000000000001</v>
      </c>
      <c r="BC22" s="1">
        <v>0.2422</v>
      </c>
      <c r="BD22" s="1">
        <v>0.25619999999999998</v>
      </c>
      <c r="BE22" s="1">
        <v>0.25569999999999998</v>
      </c>
      <c r="BF22" s="1">
        <v>0.25390000000000001</v>
      </c>
      <c r="BG22" s="1">
        <v>0.2606</v>
      </c>
      <c r="BH22" s="1">
        <v>0.21179999999999999</v>
      </c>
      <c r="BI22" s="1">
        <v>0.21940000000000001</v>
      </c>
      <c r="BJ22" s="1">
        <v>0.214</v>
      </c>
      <c r="BK22" s="1">
        <v>0.23780000000000001</v>
      </c>
      <c r="BL22" s="1">
        <v>0.1981</v>
      </c>
      <c r="BM22" s="1">
        <v>0.21779999999999999</v>
      </c>
    </row>
    <row r="23" spans="1:65" x14ac:dyDescent="0.3">
      <c r="A23" s="13" t="s">
        <v>175</v>
      </c>
      <c r="B23" s="1">
        <v>0.15620000000000001</v>
      </c>
      <c r="C23" s="1">
        <v>0.1744</v>
      </c>
      <c r="D23" s="1">
        <v>0.1646</v>
      </c>
      <c r="E23" s="1">
        <v>0.1666</v>
      </c>
      <c r="F23" s="1">
        <v>0.1646</v>
      </c>
      <c r="G23" s="1">
        <v>0.16600000000000001</v>
      </c>
      <c r="H23" s="1">
        <v>0.1709</v>
      </c>
      <c r="I23" s="1">
        <v>0.1694</v>
      </c>
      <c r="J23" s="1">
        <v>0.1661</v>
      </c>
      <c r="K23" s="1">
        <v>0.16930000000000001</v>
      </c>
      <c r="L23" s="1">
        <v>0.16550000000000001</v>
      </c>
      <c r="M23" s="1">
        <v>0.1457</v>
      </c>
      <c r="N23" s="1">
        <v>0.15659999999999999</v>
      </c>
      <c r="O23" s="1">
        <v>0.1782</v>
      </c>
      <c r="P23" s="1">
        <v>0</v>
      </c>
      <c r="Q23" s="1">
        <v>0.1673</v>
      </c>
      <c r="R23" s="1">
        <v>0.1636</v>
      </c>
      <c r="S23" s="1">
        <v>0.18099999999999999</v>
      </c>
      <c r="T23" s="1">
        <v>0.191</v>
      </c>
      <c r="U23" s="1">
        <v>0.1424</v>
      </c>
      <c r="V23" s="1">
        <v>0.1769</v>
      </c>
      <c r="W23" s="1">
        <v>0.17929999999999999</v>
      </c>
      <c r="X23" s="1">
        <v>0.14799999999999999</v>
      </c>
      <c r="Y23" s="1">
        <v>0.14660000000000001</v>
      </c>
      <c r="Z23" s="1">
        <v>0.18640000000000001</v>
      </c>
      <c r="AA23" s="1">
        <v>0.1802</v>
      </c>
      <c r="AB23" s="1">
        <v>0.18279999999999999</v>
      </c>
      <c r="AC23" s="1">
        <v>0.1741</v>
      </c>
      <c r="AD23" s="1">
        <v>0.19009999999999999</v>
      </c>
      <c r="AE23" s="1">
        <v>0.18509999999999999</v>
      </c>
      <c r="AF23" s="1">
        <v>0.1799</v>
      </c>
      <c r="AG23" s="1">
        <v>0.1681</v>
      </c>
      <c r="AH23" s="1">
        <v>0.16339999999999999</v>
      </c>
      <c r="AI23" s="1">
        <v>0.1575</v>
      </c>
      <c r="AJ23" s="1">
        <v>0.1444</v>
      </c>
      <c r="AK23" s="1">
        <v>0.1593</v>
      </c>
      <c r="AL23" s="1">
        <v>0.1656</v>
      </c>
      <c r="AM23" s="1">
        <v>0.1598</v>
      </c>
      <c r="AN23" s="1">
        <v>0.1784</v>
      </c>
      <c r="AO23" s="1">
        <v>0.1787</v>
      </c>
      <c r="AP23" s="1">
        <v>0.18010000000000001</v>
      </c>
      <c r="AQ23" s="1">
        <v>0.1883</v>
      </c>
      <c r="AR23" s="1">
        <v>0.184</v>
      </c>
      <c r="AS23" s="1">
        <v>0.19020000000000001</v>
      </c>
      <c r="AT23" s="1">
        <v>0.16009999999999999</v>
      </c>
      <c r="AU23" s="1">
        <v>0.1759</v>
      </c>
      <c r="AV23" s="1">
        <v>0.17580000000000001</v>
      </c>
      <c r="AW23" s="1">
        <v>0.18479999999999999</v>
      </c>
      <c r="AX23" s="1">
        <v>0.15640000000000001</v>
      </c>
      <c r="AY23" s="1">
        <v>0.1474</v>
      </c>
      <c r="AZ23" s="1">
        <v>0.1883</v>
      </c>
      <c r="BA23" s="1">
        <v>0.16589999999999999</v>
      </c>
      <c r="BB23" s="1">
        <v>0.18210000000000001</v>
      </c>
      <c r="BC23" s="1">
        <v>0.16339999999999999</v>
      </c>
      <c r="BD23" s="1">
        <v>0.1908</v>
      </c>
      <c r="BE23" s="1">
        <v>0.19500000000000001</v>
      </c>
      <c r="BF23" s="1">
        <v>0.17560000000000001</v>
      </c>
      <c r="BG23" s="1">
        <v>0.17560000000000001</v>
      </c>
      <c r="BH23" s="1">
        <v>0.1515</v>
      </c>
      <c r="BI23" s="1">
        <v>0.14530000000000001</v>
      </c>
      <c r="BJ23" s="1">
        <v>0.13189999999999999</v>
      </c>
      <c r="BK23" s="1">
        <v>0.1694</v>
      </c>
      <c r="BL23" s="1">
        <v>0.14810000000000001</v>
      </c>
      <c r="BM23" s="1">
        <v>0.13900000000000001</v>
      </c>
    </row>
    <row r="24" spans="1:65" x14ac:dyDescent="0.3">
      <c r="A24" s="13" t="s">
        <v>176</v>
      </c>
      <c r="B24" s="1">
        <v>0.1734</v>
      </c>
      <c r="C24" s="1">
        <v>0.1817</v>
      </c>
      <c r="D24" s="1">
        <v>0.16869999999999999</v>
      </c>
      <c r="E24" s="1">
        <v>0.1777</v>
      </c>
      <c r="F24" s="1">
        <v>0.1757</v>
      </c>
      <c r="G24" s="1">
        <v>0.1777</v>
      </c>
      <c r="H24" s="1">
        <v>0.17369999999999999</v>
      </c>
      <c r="I24" s="1">
        <v>0.18110000000000001</v>
      </c>
      <c r="J24" s="1">
        <v>0.16550000000000001</v>
      </c>
      <c r="K24" s="1">
        <v>0.17530000000000001</v>
      </c>
      <c r="L24" s="1">
        <v>0.17469999999999999</v>
      </c>
      <c r="M24" s="1">
        <v>0.15740000000000001</v>
      </c>
      <c r="N24" s="1">
        <v>0.1691</v>
      </c>
      <c r="O24" s="1">
        <v>0.1719</v>
      </c>
      <c r="P24" s="1">
        <v>0.16039999999999999</v>
      </c>
      <c r="Q24" s="1">
        <v>0.17199999999999999</v>
      </c>
      <c r="R24" s="1">
        <v>0.17660000000000001</v>
      </c>
      <c r="S24" s="1">
        <v>0.1658</v>
      </c>
      <c r="T24" s="1">
        <v>0.16250000000000001</v>
      </c>
      <c r="U24" s="1">
        <v>0.15590000000000001</v>
      </c>
      <c r="V24" s="1">
        <v>0.17469999999999999</v>
      </c>
      <c r="W24" s="1">
        <v>0.1721</v>
      </c>
      <c r="X24" s="1">
        <v>0.155</v>
      </c>
      <c r="Y24" s="1">
        <v>0.15570000000000001</v>
      </c>
      <c r="Z24" s="1">
        <v>0.17069999999999999</v>
      </c>
      <c r="AA24" s="1">
        <v>0.17899999999999999</v>
      </c>
      <c r="AB24" s="1">
        <v>0.17660000000000001</v>
      </c>
      <c r="AC24" s="1">
        <v>0.1678</v>
      </c>
      <c r="AD24" s="1">
        <v>0.1714</v>
      </c>
      <c r="AE24" s="1">
        <v>0.17519999999999999</v>
      </c>
      <c r="AF24" s="1">
        <v>0.16830000000000001</v>
      </c>
      <c r="AG24" s="1">
        <v>0.17530000000000001</v>
      </c>
      <c r="AH24" s="1">
        <v>0.17019999999999999</v>
      </c>
      <c r="AI24" s="1">
        <v>0.15659999999999999</v>
      </c>
      <c r="AJ24" s="1">
        <v>0.16159999999999999</v>
      </c>
      <c r="AK24" s="1">
        <v>0.17380000000000001</v>
      </c>
      <c r="AL24" s="1">
        <v>0.1729</v>
      </c>
      <c r="AM24" s="1">
        <v>0.16339999999999999</v>
      </c>
      <c r="AN24" s="1">
        <v>0.17449999999999999</v>
      </c>
      <c r="AO24" s="1">
        <v>0.17899999999999999</v>
      </c>
      <c r="AP24" s="1">
        <v>0.1787</v>
      </c>
      <c r="AQ24" s="1">
        <v>0.18559999999999999</v>
      </c>
      <c r="AR24" s="1">
        <v>0.17169999999999999</v>
      </c>
      <c r="AS24" s="1">
        <v>0.1696</v>
      </c>
      <c r="AT24" s="1">
        <v>0.16919999999999999</v>
      </c>
      <c r="AU24" s="1">
        <v>0.18190000000000001</v>
      </c>
      <c r="AV24" s="1">
        <v>0.1754</v>
      </c>
      <c r="AW24" s="1">
        <v>0.18090000000000001</v>
      </c>
      <c r="AX24" s="1">
        <v>0.1633</v>
      </c>
      <c r="AY24" s="1">
        <v>0.17119999999999999</v>
      </c>
      <c r="AZ24" s="1">
        <v>0.17810000000000001</v>
      </c>
      <c r="BA24" s="1">
        <v>0.17829999999999999</v>
      </c>
      <c r="BB24" s="1">
        <v>0.17780000000000001</v>
      </c>
      <c r="BC24" s="1">
        <v>0.16719999999999999</v>
      </c>
      <c r="BD24" s="1">
        <v>0.1668</v>
      </c>
      <c r="BE24" s="1">
        <v>0.1653</v>
      </c>
      <c r="BF24" s="1">
        <v>0.17510000000000001</v>
      </c>
      <c r="BG24" s="1">
        <v>0.1731</v>
      </c>
      <c r="BH24" s="1">
        <v>0.154</v>
      </c>
      <c r="BI24" s="1">
        <v>0.1489</v>
      </c>
      <c r="BJ24" s="1">
        <v>0</v>
      </c>
      <c r="BK24" s="1">
        <v>0.16619999999999999</v>
      </c>
      <c r="BL24" s="1">
        <v>0.158</v>
      </c>
      <c r="BM24" s="1">
        <v>0.1487</v>
      </c>
    </row>
    <row r="25" spans="1:65" x14ac:dyDescent="0.3">
      <c r="A25" s="13" t="s">
        <v>177</v>
      </c>
      <c r="B25" s="1">
        <v>0</v>
      </c>
      <c r="C25" s="1">
        <v>0.12039999999999999</v>
      </c>
      <c r="D25" s="1">
        <v>0.11840000000000001</v>
      </c>
      <c r="E25" s="1">
        <v>0.1191</v>
      </c>
      <c r="F25" s="1">
        <v>0</v>
      </c>
      <c r="G25" s="1">
        <v>0.1177</v>
      </c>
      <c r="H25" s="1">
        <v>0.1242</v>
      </c>
      <c r="I25" s="1">
        <v>0.11899999999999999</v>
      </c>
      <c r="J25" s="1">
        <v>0.1105</v>
      </c>
      <c r="K25" s="1">
        <v>0.1178</v>
      </c>
      <c r="L25" s="1">
        <v>0.1164</v>
      </c>
      <c r="M25" s="1">
        <v>0</v>
      </c>
      <c r="N25" s="1">
        <v>0</v>
      </c>
      <c r="O25" s="1">
        <v>9.9299999999999999E-2</v>
      </c>
      <c r="P25" s="1">
        <v>0</v>
      </c>
      <c r="Q25" s="1">
        <v>0.11310000000000001</v>
      </c>
      <c r="R25" s="1">
        <v>0</v>
      </c>
      <c r="S25" s="1">
        <v>8.5800000000000001E-2</v>
      </c>
      <c r="T25" s="1">
        <v>8.7999999999999995E-2</v>
      </c>
      <c r="U25" s="1">
        <v>9.0200000000000002E-2</v>
      </c>
      <c r="V25" s="1">
        <v>9.4100000000000003E-2</v>
      </c>
      <c r="W25" s="1">
        <v>9.5699999999999993E-2</v>
      </c>
      <c r="X25" s="1">
        <v>9.4399999999999998E-2</v>
      </c>
      <c r="Y25" s="1">
        <v>8.2100000000000006E-2</v>
      </c>
      <c r="Z25" s="1">
        <v>9.7600000000000006E-2</v>
      </c>
      <c r="AA25" s="1">
        <v>9.5899999999999999E-2</v>
      </c>
      <c r="AB25" s="1">
        <v>9.4500000000000001E-2</v>
      </c>
      <c r="AC25" s="1">
        <v>9.0800000000000006E-2</v>
      </c>
      <c r="AD25" s="1">
        <v>9.7299999999999998E-2</v>
      </c>
      <c r="AE25" s="1">
        <v>9.7100000000000006E-2</v>
      </c>
      <c r="AF25" s="1">
        <v>0.1118</v>
      </c>
      <c r="AG25" s="1">
        <v>9.1899999999999996E-2</v>
      </c>
      <c r="AH25" s="1">
        <v>9.5899999999999999E-2</v>
      </c>
      <c r="AI25" s="1">
        <v>0</v>
      </c>
      <c r="AJ25" s="1">
        <v>8.5999999999999993E-2</v>
      </c>
      <c r="AK25" s="1">
        <v>9.2200000000000004E-2</v>
      </c>
      <c r="AL25" s="1">
        <v>0.1067</v>
      </c>
      <c r="AM25" s="1">
        <v>8.9599999999999999E-2</v>
      </c>
      <c r="AN25" s="1">
        <v>0.1178</v>
      </c>
      <c r="AO25" s="1">
        <v>0.105</v>
      </c>
      <c r="AP25" s="1">
        <v>0.1038</v>
      </c>
      <c r="AQ25" s="1">
        <v>0.1051</v>
      </c>
      <c r="AR25" s="1">
        <v>0.1031</v>
      </c>
      <c r="AS25" s="1">
        <v>0.11169999999999999</v>
      </c>
      <c r="AT25" s="1">
        <v>0</v>
      </c>
      <c r="AU25" s="1">
        <v>0.1158</v>
      </c>
      <c r="AV25" s="1">
        <v>0.1191</v>
      </c>
      <c r="AW25" s="1">
        <v>0.1128</v>
      </c>
      <c r="AX25" s="1">
        <v>0</v>
      </c>
      <c r="AY25" s="1">
        <v>9.3100000000000002E-2</v>
      </c>
      <c r="AZ25" s="1">
        <v>9.0999999999999998E-2</v>
      </c>
      <c r="BA25" s="1">
        <v>9.7199999999999995E-2</v>
      </c>
      <c r="BB25" s="1">
        <v>0.1004</v>
      </c>
      <c r="BC25" s="1">
        <v>0.1024</v>
      </c>
      <c r="BD25" s="1">
        <v>9.0899999999999995E-2</v>
      </c>
      <c r="BE25" s="1">
        <v>9.6699999999999994E-2</v>
      </c>
      <c r="BF25" s="1">
        <v>0.1288</v>
      </c>
      <c r="BG25" s="1">
        <v>0.1246</v>
      </c>
      <c r="BH25" s="1">
        <v>0</v>
      </c>
      <c r="BI25" s="1">
        <v>0</v>
      </c>
      <c r="BJ25" s="1">
        <v>0</v>
      </c>
      <c r="BK25" s="1">
        <v>0.1042</v>
      </c>
      <c r="BL25" s="1">
        <v>0</v>
      </c>
      <c r="BM25" s="1">
        <v>9.1700000000000004E-2</v>
      </c>
    </row>
    <row r="26" spans="1:65" x14ac:dyDescent="0.3">
      <c r="A26" s="13" t="s">
        <v>178</v>
      </c>
      <c r="B26" s="1">
        <v>0.224</v>
      </c>
      <c r="C26" s="1">
        <v>0.24940000000000001</v>
      </c>
      <c r="D26" s="1">
        <v>0.25119999999999998</v>
      </c>
      <c r="E26" s="1">
        <v>0.25519999999999998</v>
      </c>
      <c r="F26" s="1">
        <v>0.2465</v>
      </c>
      <c r="G26" s="1">
        <v>0.24529999999999999</v>
      </c>
      <c r="H26" s="1">
        <v>0.25369999999999998</v>
      </c>
      <c r="I26" s="1">
        <v>0.25159999999999999</v>
      </c>
      <c r="J26" s="1">
        <v>0.24329999999999999</v>
      </c>
      <c r="K26" s="1">
        <v>0.24279999999999999</v>
      </c>
      <c r="L26" s="1">
        <v>0.25259999999999999</v>
      </c>
      <c r="M26" s="1">
        <v>0</v>
      </c>
      <c r="N26" s="1">
        <v>0.27100000000000002</v>
      </c>
      <c r="O26" s="1">
        <v>0.2762</v>
      </c>
      <c r="P26" s="1">
        <v>0</v>
      </c>
      <c r="Q26" s="1">
        <v>0.25180000000000002</v>
      </c>
      <c r="R26" s="1">
        <v>0.27629999999999999</v>
      </c>
      <c r="S26" s="1">
        <v>0.26569999999999999</v>
      </c>
      <c r="T26" s="1">
        <v>0.24829999999999999</v>
      </c>
      <c r="U26" s="1">
        <v>0.21460000000000001</v>
      </c>
      <c r="V26" s="1">
        <v>0.25629999999999997</v>
      </c>
      <c r="W26" s="1">
        <v>0.26719999999999999</v>
      </c>
      <c r="X26" s="1">
        <v>0.21870000000000001</v>
      </c>
      <c r="Y26" s="1">
        <v>0.216</v>
      </c>
      <c r="Z26" s="1">
        <v>0.25130000000000002</v>
      </c>
      <c r="AA26" s="1">
        <v>0.2412</v>
      </c>
      <c r="AB26" s="1">
        <v>0.23449999999999999</v>
      </c>
      <c r="AC26" s="1">
        <v>0.26119999999999999</v>
      </c>
      <c r="AD26" s="1">
        <v>0.26340000000000002</v>
      </c>
      <c r="AE26" s="1">
        <v>0.27279999999999999</v>
      </c>
      <c r="AF26" s="1">
        <v>0.25640000000000002</v>
      </c>
      <c r="AG26" s="1">
        <v>0.24879999999999999</v>
      </c>
      <c r="AH26" s="1">
        <v>0.27329999999999999</v>
      </c>
      <c r="AI26" s="1">
        <v>0.214</v>
      </c>
      <c r="AJ26" s="1">
        <v>0.23760000000000001</v>
      </c>
      <c r="AK26" s="1">
        <v>0.24909999999999999</v>
      </c>
      <c r="AL26" s="1">
        <v>0.24479999999999999</v>
      </c>
      <c r="AM26" s="1">
        <v>0.2336</v>
      </c>
      <c r="AN26" s="1">
        <v>0.25309999999999999</v>
      </c>
      <c r="AO26" s="1">
        <v>0.2908</v>
      </c>
      <c r="AP26" s="1">
        <v>0.25190000000000001</v>
      </c>
      <c r="AQ26" s="1">
        <v>0.2424</v>
      </c>
      <c r="AR26" s="1">
        <v>0.25740000000000002</v>
      </c>
      <c r="AS26" s="1">
        <v>0.2712</v>
      </c>
      <c r="AT26" s="1">
        <v>0.23810000000000001</v>
      </c>
      <c r="AU26" s="1">
        <v>0.25269999999999998</v>
      </c>
      <c r="AV26" s="1">
        <v>0.2631</v>
      </c>
      <c r="AW26" s="1">
        <v>0.26569999999999999</v>
      </c>
      <c r="AX26" s="1">
        <v>0.22839999999999999</v>
      </c>
      <c r="AY26" s="1">
        <v>0.25669999999999998</v>
      </c>
      <c r="AZ26" s="1">
        <v>0.2676</v>
      </c>
      <c r="BA26" s="1">
        <v>0.26640000000000003</v>
      </c>
      <c r="BB26" s="1">
        <v>0.26769999999999999</v>
      </c>
      <c r="BC26" s="1">
        <v>0.2374</v>
      </c>
      <c r="BD26" s="1">
        <v>0.2535</v>
      </c>
      <c r="BE26" s="1">
        <v>0.25059999999999999</v>
      </c>
      <c r="BF26" s="1">
        <v>0.28110000000000002</v>
      </c>
      <c r="BG26" s="1">
        <v>0.26879999999999998</v>
      </c>
      <c r="BH26" s="1">
        <v>0.22270000000000001</v>
      </c>
      <c r="BI26" s="1">
        <v>0.2467</v>
      </c>
      <c r="BJ26" s="1">
        <v>0</v>
      </c>
      <c r="BK26" s="1">
        <v>0.22969999999999999</v>
      </c>
      <c r="BL26" s="1">
        <v>0.2291</v>
      </c>
      <c r="BM26" s="1">
        <v>0.21049999999999999</v>
      </c>
    </row>
    <row r="27" spans="1:65" x14ac:dyDescent="0.3">
      <c r="A27" s="13" t="s">
        <v>179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8.5999999999999993E-2</v>
      </c>
      <c r="Q27" s="1">
        <v>0</v>
      </c>
      <c r="R27" s="1">
        <v>0.1022</v>
      </c>
      <c r="S27" s="1">
        <v>0</v>
      </c>
      <c r="T27" s="1">
        <v>0</v>
      </c>
      <c r="U27" s="1">
        <v>9.0499999999999997E-2</v>
      </c>
      <c r="V27" s="1">
        <v>0</v>
      </c>
      <c r="W27" s="1">
        <v>0</v>
      </c>
      <c r="X27" s="1">
        <v>0</v>
      </c>
      <c r="Y27" s="1">
        <v>9.5299999999999996E-2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9.5699999999999993E-2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9.0899999999999995E-2</v>
      </c>
    </row>
    <row r="28" spans="1:65" x14ac:dyDescent="0.3">
      <c r="A28" s="13" t="s">
        <v>180</v>
      </c>
      <c r="B28" s="1">
        <v>0.24479999999999999</v>
      </c>
      <c r="C28" s="1">
        <v>0.28149999999999997</v>
      </c>
      <c r="D28" s="1">
        <v>0.25480000000000003</v>
      </c>
      <c r="E28" s="1">
        <v>0.28289999999999998</v>
      </c>
      <c r="F28" s="1">
        <v>0.2447</v>
      </c>
      <c r="G28" s="1">
        <v>0.27189999999999998</v>
      </c>
      <c r="H28" s="1">
        <v>0.26769999999999999</v>
      </c>
      <c r="I28" s="1">
        <v>0.25269999999999998</v>
      </c>
      <c r="J28" s="1">
        <v>0.2427</v>
      </c>
      <c r="K28" s="1">
        <v>0.2802</v>
      </c>
      <c r="L28" s="1">
        <v>0.27650000000000002</v>
      </c>
      <c r="M28" s="1">
        <v>0.2651</v>
      </c>
      <c r="N28" s="1">
        <v>0.27329999999999999</v>
      </c>
      <c r="O28" s="1">
        <v>0.2757</v>
      </c>
      <c r="P28" s="1">
        <v>0.2475</v>
      </c>
      <c r="Q28" s="1">
        <v>0.28370000000000001</v>
      </c>
      <c r="R28" s="1">
        <v>0.2782</v>
      </c>
      <c r="S28" s="1">
        <v>0.23949999999999999</v>
      </c>
      <c r="T28" s="1">
        <v>0.22359999999999999</v>
      </c>
      <c r="U28" s="1">
        <v>0.2606</v>
      </c>
      <c r="V28" s="1">
        <v>0.27710000000000001</v>
      </c>
      <c r="W28" s="1">
        <v>0.2591</v>
      </c>
      <c r="X28" s="1">
        <v>0.23100000000000001</v>
      </c>
      <c r="Y28" s="1">
        <v>0.25490000000000002</v>
      </c>
      <c r="Z28" s="1">
        <v>0.28149999999999997</v>
      </c>
      <c r="AA28" s="1">
        <v>0.28710000000000002</v>
      </c>
      <c r="AB28" s="1">
        <v>0.27839999999999998</v>
      </c>
      <c r="AC28" s="1">
        <v>0.24540000000000001</v>
      </c>
      <c r="AD28" s="1">
        <v>0.27310000000000001</v>
      </c>
      <c r="AE28" s="1">
        <v>0.26829999999999998</v>
      </c>
      <c r="AF28" s="1">
        <v>0.25719999999999998</v>
      </c>
      <c r="AG28" s="1">
        <v>0.2631</v>
      </c>
      <c r="AH28" s="1">
        <v>0.26250000000000001</v>
      </c>
      <c r="AI28" s="1">
        <v>0.24399999999999999</v>
      </c>
      <c r="AJ28" s="1">
        <v>0.25950000000000001</v>
      </c>
      <c r="AK28" s="1">
        <v>0.2792</v>
      </c>
      <c r="AL28" s="1">
        <v>0.28339999999999999</v>
      </c>
      <c r="AM28" s="1">
        <v>0.26040000000000002</v>
      </c>
      <c r="AN28" s="1">
        <v>0.25369999999999998</v>
      </c>
      <c r="AO28" s="1">
        <v>0.27139999999999997</v>
      </c>
      <c r="AP28" s="1">
        <v>0.2838</v>
      </c>
      <c r="AQ28" s="1">
        <v>0.24349999999999999</v>
      </c>
      <c r="AR28" s="1">
        <v>0.29520000000000002</v>
      </c>
      <c r="AS28" s="1">
        <v>0.28599999999999998</v>
      </c>
      <c r="AT28" s="1">
        <v>0.26869999999999999</v>
      </c>
      <c r="AU28" s="1">
        <v>0.28799999999999998</v>
      </c>
      <c r="AV28" s="1">
        <v>0.2712</v>
      </c>
      <c r="AW28" s="1">
        <v>0.28489999999999999</v>
      </c>
      <c r="AX28" s="1">
        <v>0.26669999999999999</v>
      </c>
      <c r="AY28" s="1">
        <v>0.25309999999999999</v>
      </c>
      <c r="AZ28" s="1">
        <v>0.249</v>
      </c>
      <c r="BA28" s="1">
        <v>0.2535</v>
      </c>
      <c r="BB28" s="1">
        <v>0.29310000000000003</v>
      </c>
      <c r="BC28" s="1">
        <v>0.27650000000000002</v>
      </c>
      <c r="BD28" s="1">
        <v>0.2422</v>
      </c>
      <c r="BE28" s="1">
        <v>0.29089999999999999</v>
      </c>
      <c r="BF28" s="1">
        <v>0.27960000000000002</v>
      </c>
      <c r="BG28" s="1">
        <v>0</v>
      </c>
      <c r="BH28" s="1">
        <v>0.2422</v>
      </c>
      <c r="BI28" s="1">
        <v>0.28789999999999999</v>
      </c>
      <c r="BJ28" s="1">
        <v>0.2429</v>
      </c>
      <c r="BK28" s="1">
        <v>0.28860000000000002</v>
      </c>
      <c r="BL28" s="1">
        <v>0.24640000000000001</v>
      </c>
      <c r="BM28" s="1">
        <v>0.25719999999999998</v>
      </c>
    </row>
    <row r="29" spans="1:65" x14ac:dyDescent="0.3">
      <c r="A29" s="13" t="s">
        <v>181</v>
      </c>
      <c r="B29" s="1">
        <v>0.67659999999999998</v>
      </c>
      <c r="C29" s="1">
        <v>0</v>
      </c>
      <c r="D29" s="1">
        <v>0</v>
      </c>
      <c r="E29" s="1">
        <v>0.67889999999999995</v>
      </c>
      <c r="F29" s="1">
        <v>0.71279999999999999</v>
      </c>
      <c r="G29" s="1">
        <v>0</v>
      </c>
      <c r="H29" s="1">
        <v>0.68559999999999999</v>
      </c>
      <c r="I29" s="1">
        <v>0.6109</v>
      </c>
      <c r="J29" s="1">
        <v>0.69940000000000002</v>
      </c>
      <c r="K29" s="1">
        <v>0.67579999999999996</v>
      </c>
      <c r="L29" s="1">
        <v>0.66120000000000001</v>
      </c>
      <c r="M29" s="1">
        <v>0.64429999999999998</v>
      </c>
      <c r="N29" s="1">
        <v>0.65129999999999999</v>
      </c>
      <c r="O29" s="1">
        <v>0</v>
      </c>
      <c r="P29" s="1">
        <v>0</v>
      </c>
      <c r="Q29" s="1">
        <v>0.64090000000000003</v>
      </c>
      <c r="R29" s="1">
        <v>0.68300000000000005</v>
      </c>
      <c r="S29" s="1">
        <v>0</v>
      </c>
      <c r="T29" s="1">
        <v>0</v>
      </c>
      <c r="U29" s="1">
        <v>0.60980000000000001</v>
      </c>
      <c r="V29" s="1">
        <v>0</v>
      </c>
      <c r="W29" s="1" t="s">
        <v>160</v>
      </c>
      <c r="X29" s="1">
        <v>0.64570000000000005</v>
      </c>
      <c r="Y29" s="1">
        <v>0</v>
      </c>
      <c r="Z29" s="1">
        <v>0</v>
      </c>
      <c r="AA29" s="1" t="s">
        <v>160</v>
      </c>
      <c r="AB29" s="1">
        <v>0.67559999999999998</v>
      </c>
      <c r="AC29" s="1">
        <v>0.68899999999999995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0.64770000000000005</v>
      </c>
      <c r="AJ29" s="1">
        <v>0.60350000000000004</v>
      </c>
      <c r="AK29" s="1">
        <v>0.60699999999999998</v>
      </c>
      <c r="AL29" s="1">
        <v>0.67100000000000004</v>
      </c>
      <c r="AM29" s="1">
        <v>0.5635</v>
      </c>
      <c r="AN29" s="1">
        <v>0.68520000000000003</v>
      </c>
      <c r="AO29" s="1">
        <v>0</v>
      </c>
      <c r="AP29" s="1">
        <v>0.61150000000000004</v>
      </c>
      <c r="AQ29" s="1">
        <v>0.62570000000000003</v>
      </c>
      <c r="AR29" s="1">
        <v>0</v>
      </c>
      <c r="AS29" s="1">
        <v>0.69840000000000002</v>
      </c>
      <c r="AT29" s="1">
        <v>0.63300000000000001</v>
      </c>
      <c r="AU29" s="1">
        <v>0.67390000000000005</v>
      </c>
      <c r="AV29" s="1">
        <v>0.67379999999999995</v>
      </c>
      <c r="AW29" s="1">
        <v>0</v>
      </c>
      <c r="AX29" s="1">
        <v>0.63480000000000003</v>
      </c>
      <c r="AY29" s="1">
        <v>0.67220000000000002</v>
      </c>
      <c r="AZ29" s="1">
        <v>0</v>
      </c>
      <c r="BA29" s="1">
        <v>0</v>
      </c>
      <c r="BB29" s="1">
        <v>0</v>
      </c>
      <c r="BC29" s="1">
        <v>0.65090000000000003</v>
      </c>
      <c r="BD29" s="1">
        <v>0</v>
      </c>
      <c r="BE29" s="1">
        <v>0.66930000000000001</v>
      </c>
      <c r="BF29" s="1">
        <v>0.67259999999999998</v>
      </c>
      <c r="BG29" s="1">
        <v>0</v>
      </c>
      <c r="BH29" s="1">
        <v>0.61339999999999995</v>
      </c>
      <c r="BI29" s="1">
        <v>0</v>
      </c>
      <c r="BJ29" s="1">
        <v>0</v>
      </c>
      <c r="BK29" s="1">
        <v>0.65100000000000002</v>
      </c>
      <c r="BL29" s="1">
        <v>0.60299999999999998</v>
      </c>
      <c r="BM29" s="1">
        <v>0.61719999999999997</v>
      </c>
    </row>
    <row r="30" spans="1:65" x14ac:dyDescent="0.3">
      <c r="A30" s="13" t="s">
        <v>182</v>
      </c>
      <c r="B30" s="1">
        <v>0.1145</v>
      </c>
      <c r="C30" s="1">
        <v>0.1123</v>
      </c>
      <c r="D30" s="1">
        <v>0.1144</v>
      </c>
      <c r="E30" s="1">
        <v>0.1149</v>
      </c>
      <c r="F30" s="1">
        <v>0.11210000000000001</v>
      </c>
      <c r="G30" s="1">
        <v>0.1143</v>
      </c>
      <c r="H30" s="1">
        <v>0.1134</v>
      </c>
      <c r="I30" s="1">
        <v>0.11559999999999999</v>
      </c>
      <c r="J30" s="1">
        <v>0.1105</v>
      </c>
      <c r="K30" s="1">
        <v>0.1134</v>
      </c>
      <c r="L30" s="1">
        <v>0.114</v>
      </c>
      <c r="M30" s="1">
        <v>0.1072</v>
      </c>
      <c r="N30" s="1">
        <v>0.1149</v>
      </c>
      <c r="O30" s="1">
        <v>0.1116</v>
      </c>
      <c r="P30" s="1">
        <v>0</v>
      </c>
      <c r="Q30" s="1">
        <v>0.113</v>
      </c>
      <c r="R30" s="1">
        <v>0.11849999999999999</v>
      </c>
      <c r="S30" s="1">
        <v>0</v>
      </c>
      <c r="T30" s="1">
        <v>0.10730000000000001</v>
      </c>
      <c r="U30" s="1">
        <v>0.10290000000000001</v>
      </c>
      <c r="V30" s="1">
        <v>0.115</v>
      </c>
      <c r="W30" s="1">
        <v>0.1139</v>
      </c>
      <c r="X30" s="1">
        <v>0.10539999999999999</v>
      </c>
      <c r="Y30" s="1">
        <v>0.1036</v>
      </c>
      <c r="Z30" s="1">
        <v>0.1197</v>
      </c>
      <c r="AA30" s="1">
        <v>0.1133</v>
      </c>
      <c r="AB30" s="1">
        <v>0.11600000000000001</v>
      </c>
      <c r="AC30" s="1">
        <v>0.107</v>
      </c>
      <c r="AD30" s="1">
        <v>0.1138</v>
      </c>
      <c r="AE30" s="1">
        <v>0.11550000000000001</v>
      </c>
      <c r="AF30" s="1">
        <v>0.1149</v>
      </c>
      <c r="AG30" s="1">
        <v>0.1144</v>
      </c>
      <c r="AH30" s="1">
        <v>0.114</v>
      </c>
      <c r="AI30" s="1">
        <v>0.1052</v>
      </c>
      <c r="AJ30" s="1">
        <v>0.1096</v>
      </c>
      <c r="AK30" s="1">
        <v>0.107</v>
      </c>
      <c r="AL30" s="1">
        <v>0.11849999999999999</v>
      </c>
      <c r="AM30" s="1">
        <v>0.1017</v>
      </c>
      <c r="AN30" s="1">
        <v>0.11360000000000001</v>
      </c>
      <c r="AO30" s="1">
        <v>0.1167</v>
      </c>
      <c r="AP30" s="1">
        <v>0.1153</v>
      </c>
      <c r="AQ30" s="1">
        <v>0.115</v>
      </c>
      <c r="AR30" s="1">
        <v>0.1125</v>
      </c>
      <c r="AS30" s="1">
        <v>0.1137</v>
      </c>
      <c r="AT30" s="1">
        <v>0.1124</v>
      </c>
      <c r="AU30" s="1">
        <v>0.1168</v>
      </c>
      <c r="AV30" s="1">
        <v>0.1105</v>
      </c>
      <c r="AW30" s="1">
        <v>0.1137</v>
      </c>
      <c r="AX30" s="1">
        <v>0.1087</v>
      </c>
      <c r="AY30" s="1">
        <v>0.11459999999999999</v>
      </c>
      <c r="AZ30" s="1">
        <v>0.1104</v>
      </c>
      <c r="BA30" s="1">
        <v>0.1103</v>
      </c>
      <c r="BB30" s="1">
        <v>0.11650000000000001</v>
      </c>
      <c r="BC30" s="1">
        <v>0.1142</v>
      </c>
      <c r="BD30" s="1">
        <v>0.1074</v>
      </c>
      <c r="BE30" s="1">
        <v>0.10929999999999999</v>
      </c>
      <c r="BF30" s="1">
        <v>0.11609999999999999</v>
      </c>
      <c r="BG30" s="1">
        <v>0</v>
      </c>
      <c r="BH30" s="1">
        <v>0.1014</v>
      </c>
      <c r="BI30" s="1">
        <v>0.1066</v>
      </c>
      <c r="BJ30" s="1">
        <v>0.1065</v>
      </c>
      <c r="BK30" s="1">
        <v>0.1135</v>
      </c>
      <c r="BL30" s="1">
        <v>0.10059999999999999</v>
      </c>
      <c r="BM30" s="1">
        <v>0.1052</v>
      </c>
    </row>
    <row r="31" spans="1:65" x14ac:dyDescent="0.3">
      <c r="A31" s="13" t="s">
        <v>183</v>
      </c>
      <c r="B31" s="1">
        <v>0.12470000000000001</v>
      </c>
      <c r="C31" s="1">
        <v>0.13089999999999999</v>
      </c>
      <c r="D31" s="1">
        <v>0.12839999999999999</v>
      </c>
      <c r="E31" s="1">
        <v>0.12839999999999999</v>
      </c>
      <c r="F31" s="1">
        <v>0.127</v>
      </c>
      <c r="G31" s="1">
        <v>0.12820000000000001</v>
      </c>
      <c r="H31" s="1">
        <v>0.12839999999999999</v>
      </c>
      <c r="I31" s="1">
        <v>0.12670000000000001</v>
      </c>
      <c r="J31" s="1">
        <v>0.1305</v>
      </c>
      <c r="K31" s="1">
        <v>0.13150000000000001</v>
      </c>
      <c r="L31" s="1">
        <v>0.12759999999999999</v>
      </c>
      <c r="M31" s="1">
        <v>0</v>
      </c>
      <c r="N31" s="1">
        <v>0.1211</v>
      </c>
      <c r="O31" s="1">
        <v>0.12570000000000001</v>
      </c>
      <c r="P31" s="1">
        <v>0</v>
      </c>
      <c r="Q31" s="1">
        <v>0.12939999999999999</v>
      </c>
      <c r="R31" s="1">
        <v>0.1303</v>
      </c>
      <c r="S31" s="1">
        <v>0.1174</v>
      </c>
      <c r="T31" s="1">
        <v>0.1153</v>
      </c>
      <c r="U31" s="1">
        <v>0.1137</v>
      </c>
      <c r="V31" s="1">
        <v>0.12590000000000001</v>
      </c>
      <c r="W31" s="1">
        <v>0.1234</v>
      </c>
      <c r="X31" s="1">
        <v>0.11559999999999999</v>
      </c>
      <c r="Y31" s="1">
        <v>0.11799999999999999</v>
      </c>
      <c r="Z31" s="1">
        <v>0.12690000000000001</v>
      </c>
      <c r="AA31" s="1">
        <v>0.12559999999999999</v>
      </c>
      <c r="AB31" s="1">
        <v>0.12479999999999999</v>
      </c>
      <c r="AC31" s="1">
        <v>0.11990000000000001</v>
      </c>
      <c r="AD31" s="1">
        <v>0.127</v>
      </c>
      <c r="AE31" s="1">
        <v>0.12540000000000001</v>
      </c>
      <c r="AF31" s="1">
        <v>0.12230000000000001</v>
      </c>
      <c r="AG31" s="1">
        <v>0.1249</v>
      </c>
      <c r="AH31" s="1">
        <v>0.12509999999999999</v>
      </c>
      <c r="AI31" s="1">
        <v>0.11749999999999999</v>
      </c>
      <c r="AJ31" s="1">
        <v>0.1179</v>
      </c>
      <c r="AK31" s="1">
        <v>0.12230000000000001</v>
      </c>
      <c r="AL31" s="1">
        <v>0.1211</v>
      </c>
      <c r="AM31" s="1">
        <v>0.1171</v>
      </c>
      <c r="AN31" s="1">
        <v>0.12529999999999999</v>
      </c>
      <c r="AO31" s="1">
        <v>0.1275</v>
      </c>
      <c r="AP31" s="1">
        <v>0.1258</v>
      </c>
      <c r="AQ31" s="1">
        <v>0.12770000000000001</v>
      </c>
      <c r="AR31" s="1">
        <v>0.12529999999999999</v>
      </c>
      <c r="AS31" s="1">
        <v>0.127</v>
      </c>
      <c r="AT31" s="1">
        <v>0.1198</v>
      </c>
      <c r="AU31" s="1">
        <v>0.12570000000000001</v>
      </c>
      <c r="AV31" s="1">
        <v>0.124</v>
      </c>
      <c r="AW31" s="1">
        <v>0.12870000000000001</v>
      </c>
      <c r="AX31" s="1">
        <v>0.1164</v>
      </c>
      <c r="AY31" s="1">
        <v>0.1231</v>
      </c>
      <c r="AZ31" s="1">
        <v>0.12659999999999999</v>
      </c>
      <c r="BA31" s="1">
        <v>0.12379999999999999</v>
      </c>
      <c r="BB31" s="1">
        <v>0.1258</v>
      </c>
      <c r="BC31" s="1">
        <v>0.124</v>
      </c>
      <c r="BD31" s="1">
        <v>0.1212</v>
      </c>
      <c r="BE31" s="1">
        <v>0.1221</v>
      </c>
      <c r="BF31" s="1">
        <v>0.1201</v>
      </c>
      <c r="BG31" s="1">
        <v>0.12379999999999999</v>
      </c>
      <c r="BH31" s="1">
        <v>0.1118</v>
      </c>
      <c r="BI31" s="1">
        <v>0.1163</v>
      </c>
      <c r="BJ31" s="1">
        <v>0.1045</v>
      </c>
      <c r="BK31" s="1">
        <v>0.1203</v>
      </c>
      <c r="BL31" s="1">
        <v>0.1154</v>
      </c>
      <c r="BM31" s="1">
        <v>0.1145</v>
      </c>
    </row>
    <row r="32" spans="1:65" x14ac:dyDescent="0.3">
      <c r="A32" s="13" t="s">
        <v>184</v>
      </c>
      <c r="B32" s="1">
        <v>0.1318</v>
      </c>
      <c r="C32" s="1">
        <v>0.13500000000000001</v>
      </c>
      <c r="D32" s="1">
        <v>0.13300000000000001</v>
      </c>
      <c r="E32" s="1">
        <v>0.13589999999999999</v>
      </c>
      <c r="F32" s="1">
        <v>0.13439999999999999</v>
      </c>
      <c r="G32" s="1">
        <v>0.13750000000000001</v>
      </c>
      <c r="H32" s="1">
        <v>0.1389</v>
      </c>
      <c r="I32" s="1">
        <v>0.13150000000000001</v>
      </c>
      <c r="J32" s="1">
        <v>0.13489999999999999</v>
      </c>
      <c r="K32" s="1">
        <v>0.13139999999999999</v>
      </c>
      <c r="L32" s="1">
        <v>0.1363</v>
      </c>
      <c r="M32" s="1">
        <v>0.1177</v>
      </c>
      <c r="N32" s="1">
        <v>0.1338</v>
      </c>
      <c r="O32" s="1">
        <v>0.13170000000000001</v>
      </c>
      <c r="P32" s="1">
        <v>0</v>
      </c>
      <c r="Q32" s="1">
        <v>0.1366</v>
      </c>
      <c r="R32" s="1">
        <v>0.1361</v>
      </c>
      <c r="S32" s="1">
        <v>0</v>
      </c>
      <c r="T32" s="1">
        <v>0</v>
      </c>
      <c r="U32" s="1">
        <v>0.1197</v>
      </c>
      <c r="V32" s="1">
        <v>0.13550000000000001</v>
      </c>
      <c r="W32" s="1">
        <v>0.1313</v>
      </c>
      <c r="X32" s="1">
        <v>0.1177</v>
      </c>
      <c r="Y32" s="1">
        <v>0.1203</v>
      </c>
      <c r="Z32" s="1">
        <v>0</v>
      </c>
      <c r="AA32" s="1">
        <v>0.13320000000000001</v>
      </c>
      <c r="AB32" s="1">
        <v>0</v>
      </c>
      <c r="AC32" s="1">
        <v>0</v>
      </c>
      <c r="AD32" s="1">
        <v>0</v>
      </c>
      <c r="AE32" s="1">
        <v>0.128</v>
      </c>
      <c r="AF32" s="1">
        <v>0.12790000000000001</v>
      </c>
      <c r="AG32" s="1">
        <v>0.13150000000000001</v>
      </c>
      <c r="AH32" s="1">
        <v>0.1278</v>
      </c>
      <c r="AI32" s="1">
        <v>0.1242</v>
      </c>
      <c r="AJ32" s="1">
        <v>0.11890000000000001</v>
      </c>
      <c r="AK32" s="1">
        <v>0.13139999999999999</v>
      </c>
      <c r="AL32" s="1">
        <v>0.1305</v>
      </c>
      <c r="AM32" s="1">
        <v>0.1191</v>
      </c>
      <c r="AN32" s="1">
        <v>0.13120000000000001</v>
      </c>
      <c r="AO32" s="1">
        <v>0</v>
      </c>
      <c r="AP32" s="1">
        <v>0</v>
      </c>
      <c r="AQ32" s="1">
        <v>0.13789999999999999</v>
      </c>
      <c r="AR32" s="1">
        <v>0</v>
      </c>
      <c r="AS32" s="1">
        <v>0.13450000000000001</v>
      </c>
      <c r="AT32" s="1">
        <v>0.12670000000000001</v>
      </c>
      <c r="AU32" s="1">
        <v>0.1328</v>
      </c>
      <c r="AV32" s="1">
        <v>0.13589999999999999</v>
      </c>
      <c r="AW32" s="1">
        <v>0.13450000000000001</v>
      </c>
      <c r="AX32" s="1">
        <v>0.1263</v>
      </c>
      <c r="AY32" s="1">
        <v>0.1341</v>
      </c>
      <c r="AZ32" s="1">
        <v>0.12859999999999999</v>
      </c>
      <c r="BA32" s="1">
        <v>0.1358</v>
      </c>
      <c r="BB32" s="1">
        <v>0</v>
      </c>
      <c r="BC32" s="1">
        <v>0.1323</v>
      </c>
      <c r="BD32" s="1">
        <v>0</v>
      </c>
      <c r="BE32" s="1">
        <v>0.12939999999999999</v>
      </c>
      <c r="BF32" s="1">
        <v>0</v>
      </c>
      <c r="BG32" s="1">
        <v>0</v>
      </c>
      <c r="BH32" s="1">
        <v>0.1174</v>
      </c>
      <c r="BI32" s="1">
        <v>0.12180000000000001</v>
      </c>
      <c r="BJ32" s="1">
        <v>0.1116</v>
      </c>
      <c r="BK32" s="1">
        <v>0.1298</v>
      </c>
      <c r="BL32" s="1">
        <v>0.12540000000000001</v>
      </c>
      <c r="BM32" s="1">
        <v>0.1171</v>
      </c>
    </row>
    <row r="33" spans="1:65" x14ac:dyDescent="0.3">
      <c r="A33" s="13" t="s">
        <v>185</v>
      </c>
      <c r="B33" s="1">
        <v>9.3799999999999994E-2</v>
      </c>
      <c r="C33" s="1">
        <v>0.10050000000000001</v>
      </c>
      <c r="D33" s="1">
        <v>9.5100000000000004E-2</v>
      </c>
      <c r="E33" s="1">
        <v>9.4700000000000006E-2</v>
      </c>
      <c r="F33" s="1">
        <v>8.9800000000000005E-2</v>
      </c>
      <c r="G33" s="1">
        <v>9.4799999999999995E-2</v>
      </c>
      <c r="H33" s="1">
        <v>8.8700000000000001E-2</v>
      </c>
      <c r="I33" s="1">
        <v>9.6000000000000002E-2</v>
      </c>
      <c r="J33" s="1">
        <v>8.6499999999999994E-2</v>
      </c>
      <c r="K33" s="1">
        <v>9.9500000000000005E-2</v>
      </c>
      <c r="L33" s="1">
        <v>9.2299999999999993E-2</v>
      </c>
      <c r="M33" s="1">
        <v>0</v>
      </c>
      <c r="N33" s="1">
        <v>9.0300000000000005E-2</v>
      </c>
      <c r="O33" s="1">
        <v>8.5599999999999996E-2</v>
      </c>
      <c r="P33" s="1">
        <v>8.5300000000000001E-2</v>
      </c>
      <c r="Q33" s="1">
        <v>9.5200000000000007E-2</v>
      </c>
      <c r="R33" s="1">
        <v>0.1128</v>
      </c>
      <c r="S33" s="1">
        <v>0</v>
      </c>
      <c r="T33" s="1">
        <v>8.5900000000000004E-2</v>
      </c>
      <c r="U33" s="1">
        <v>7.9100000000000004E-2</v>
      </c>
      <c r="V33" s="1">
        <v>9.4100000000000003E-2</v>
      </c>
      <c r="W33" s="1">
        <v>9.2499999999999999E-2</v>
      </c>
      <c r="X33" s="1">
        <v>8.2900000000000001E-2</v>
      </c>
      <c r="Y33" s="1">
        <v>8.4400000000000003E-2</v>
      </c>
      <c r="Z33" s="1">
        <v>9.1800000000000007E-2</v>
      </c>
      <c r="AA33" s="1">
        <v>8.6499999999999994E-2</v>
      </c>
      <c r="AB33" s="1">
        <v>8.0299999999999996E-2</v>
      </c>
      <c r="AC33" s="1">
        <v>8.1699999999999995E-2</v>
      </c>
      <c r="AD33" s="1">
        <v>8.1500000000000003E-2</v>
      </c>
      <c r="AE33" s="1">
        <v>9.1999999999999998E-2</v>
      </c>
      <c r="AF33" s="1">
        <v>8.5500000000000007E-2</v>
      </c>
      <c r="AG33" s="1">
        <v>9.5699999999999993E-2</v>
      </c>
      <c r="AH33" s="1">
        <v>9.5600000000000004E-2</v>
      </c>
      <c r="AI33" s="1">
        <v>9.5500000000000002E-2</v>
      </c>
      <c r="AJ33" s="1">
        <v>9.0300000000000005E-2</v>
      </c>
      <c r="AK33" s="1">
        <v>9.0999999999999998E-2</v>
      </c>
      <c r="AL33" s="1">
        <v>8.9499999999999996E-2</v>
      </c>
      <c r="AM33" s="1">
        <v>7.8600000000000003E-2</v>
      </c>
      <c r="AN33" s="1">
        <v>8.7099999999999997E-2</v>
      </c>
      <c r="AO33" s="1">
        <v>9.6000000000000002E-2</v>
      </c>
      <c r="AP33" s="1">
        <v>9.8199999999999996E-2</v>
      </c>
      <c r="AQ33" s="1">
        <v>9.98E-2</v>
      </c>
      <c r="AR33" s="1">
        <v>8.6499999999999994E-2</v>
      </c>
      <c r="AS33" s="1">
        <v>9.3200000000000005E-2</v>
      </c>
      <c r="AT33" s="1">
        <v>9.3299999999999994E-2</v>
      </c>
      <c r="AU33" s="1">
        <v>8.5300000000000001E-2</v>
      </c>
      <c r="AV33" s="1">
        <v>8.7900000000000006E-2</v>
      </c>
      <c r="AW33" s="1">
        <v>9.4100000000000003E-2</v>
      </c>
      <c r="AX33" s="1">
        <v>8.7800000000000003E-2</v>
      </c>
      <c r="AY33" s="1">
        <v>9.7299999999999998E-2</v>
      </c>
      <c r="AZ33" s="1">
        <v>9.0499999999999997E-2</v>
      </c>
      <c r="BA33" s="1">
        <v>9.4700000000000006E-2</v>
      </c>
      <c r="BB33" s="1">
        <v>9.7500000000000003E-2</v>
      </c>
      <c r="BC33" s="1">
        <v>9.9500000000000005E-2</v>
      </c>
      <c r="BD33" s="1">
        <v>8.3900000000000002E-2</v>
      </c>
      <c r="BE33" s="1">
        <v>8.6199999999999999E-2</v>
      </c>
      <c r="BF33" s="1">
        <v>0</v>
      </c>
      <c r="BG33" s="1">
        <v>8.3099999999999993E-2</v>
      </c>
      <c r="BH33" s="1">
        <v>8.0100000000000005E-2</v>
      </c>
      <c r="BI33" s="1">
        <v>8.2000000000000003E-2</v>
      </c>
      <c r="BJ33" s="1">
        <v>7.8600000000000003E-2</v>
      </c>
      <c r="BK33" s="1">
        <v>8.6199999999999999E-2</v>
      </c>
      <c r="BL33" s="1">
        <v>8.0799999999999997E-2</v>
      </c>
      <c r="BM33" s="1">
        <v>7.8700000000000006E-2</v>
      </c>
    </row>
    <row r="34" spans="1:65" x14ac:dyDescent="0.3">
      <c r="A34" s="13" t="s">
        <v>186</v>
      </c>
      <c r="B34" s="1">
        <v>7.0400000000000004E-2</v>
      </c>
      <c r="C34" s="1">
        <v>7.0300000000000001E-2</v>
      </c>
      <c r="D34" s="1">
        <v>6.5500000000000003E-2</v>
      </c>
      <c r="E34" s="1">
        <v>7.2800000000000004E-2</v>
      </c>
      <c r="F34" s="1">
        <v>6.8500000000000005E-2</v>
      </c>
      <c r="G34" s="1">
        <v>6.6400000000000001E-2</v>
      </c>
      <c r="H34" s="1">
        <v>6.6000000000000003E-2</v>
      </c>
      <c r="I34" s="1">
        <v>6.8900000000000003E-2</v>
      </c>
      <c r="J34" s="1">
        <v>6.83E-2</v>
      </c>
      <c r="K34" s="1">
        <v>6.9000000000000006E-2</v>
      </c>
      <c r="L34" s="1">
        <v>6.7400000000000002E-2</v>
      </c>
      <c r="M34" s="1">
        <v>6.7199999999999996E-2</v>
      </c>
      <c r="N34" s="1">
        <v>6.5699999999999995E-2</v>
      </c>
      <c r="O34" s="1">
        <v>6.59E-2</v>
      </c>
      <c r="P34" s="1">
        <v>6.4600000000000005E-2</v>
      </c>
      <c r="Q34" s="1">
        <v>7.2099999999999997E-2</v>
      </c>
      <c r="R34" s="1">
        <v>8.72E-2</v>
      </c>
      <c r="S34" s="1">
        <v>6.3200000000000006E-2</v>
      </c>
      <c r="T34" s="1">
        <v>6.0199999999999997E-2</v>
      </c>
      <c r="U34" s="1">
        <v>6.0499999999999998E-2</v>
      </c>
      <c r="V34" s="1">
        <v>6.7299999999999999E-2</v>
      </c>
      <c r="W34" s="1">
        <v>6.6799999999999998E-2</v>
      </c>
      <c r="X34" s="1">
        <v>6.0199999999999997E-2</v>
      </c>
      <c r="Y34" s="1">
        <v>6.2399999999999997E-2</v>
      </c>
      <c r="Z34" s="1">
        <v>6.8199999999999997E-2</v>
      </c>
      <c r="AA34" s="1">
        <v>6.9099999999999995E-2</v>
      </c>
      <c r="AB34" s="1">
        <v>6.7400000000000002E-2</v>
      </c>
      <c r="AC34" s="1">
        <v>6.5500000000000003E-2</v>
      </c>
      <c r="AD34" s="1">
        <v>7.22E-2</v>
      </c>
      <c r="AE34" s="1">
        <v>6.8599999999999994E-2</v>
      </c>
      <c r="AF34" s="1">
        <v>7.0000000000000007E-2</v>
      </c>
      <c r="AG34" s="1">
        <v>7.2099999999999997E-2</v>
      </c>
      <c r="AH34" s="1">
        <v>6.8699999999999997E-2</v>
      </c>
      <c r="AI34" s="1">
        <v>6.3700000000000007E-2</v>
      </c>
      <c r="AJ34" s="1">
        <v>6.0699999999999997E-2</v>
      </c>
      <c r="AK34" s="1">
        <v>6.1600000000000002E-2</v>
      </c>
      <c r="AL34" s="1">
        <v>6.7299999999999999E-2</v>
      </c>
      <c r="AM34" s="1">
        <v>5.9499999999999997E-2</v>
      </c>
      <c r="AN34" s="1">
        <v>6.9900000000000004E-2</v>
      </c>
      <c r="AO34" s="1">
        <v>7.0099999999999996E-2</v>
      </c>
      <c r="AP34" s="1">
        <v>6.6199999999999995E-2</v>
      </c>
      <c r="AQ34" s="1">
        <v>7.3300000000000004E-2</v>
      </c>
      <c r="AR34" s="1">
        <v>6.93E-2</v>
      </c>
      <c r="AS34" s="1">
        <v>6.7100000000000007E-2</v>
      </c>
      <c r="AT34" s="1">
        <v>7.1599999999999997E-2</v>
      </c>
      <c r="AU34" s="1">
        <v>6.9699999999999998E-2</v>
      </c>
      <c r="AV34" s="1">
        <v>6.8500000000000005E-2</v>
      </c>
      <c r="AW34" s="1">
        <v>7.1199999999999999E-2</v>
      </c>
      <c r="AX34" s="1">
        <v>6.6799999999999998E-2</v>
      </c>
      <c r="AY34" s="1">
        <v>7.2300000000000003E-2</v>
      </c>
      <c r="AZ34" s="1">
        <v>6.83E-2</v>
      </c>
      <c r="BA34" s="1">
        <v>7.2900000000000006E-2</v>
      </c>
      <c r="BB34" s="1">
        <v>7.0400000000000004E-2</v>
      </c>
      <c r="BC34" s="1">
        <v>6.9099999999999995E-2</v>
      </c>
      <c r="BD34" s="1">
        <v>0</v>
      </c>
      <c r="BE34" s="1">
        <v>6.3E-2</v>
      </c>
      <c r="BF34" s="1">
        <v>0</v>
      </c>
      <c r="BG34" s="1">
        <v>6.3100000000000003E-2</v>
      </c>
      <c r="BH34" s="1">
        <v>0.06</v>
      </c>
      <c r="BI34" s="1">
        <v>5.8500000000000003E-2</v>
      </c>
      <c r="BJ34" s="1">
        <v>5.79E-2</v>
      </c>
      <c r="BK34" s="1">
        <v>6.0900000000000003E-2</v>
      </c>
      <c r="BL34" s="1">
        <v>6.2E-2</v>
      </c>
      <c r="BM34" s="1">
        <v>6.1899999999999997E-2</v>
      </c>
    </row>
    <row r="35" spans="1:65" x14ac:dyDescent="0.3">
      <c r="A35" s="13" t="s">
        <v>187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6.9199999999999998E-2</v>
      </c>
      <c r="N35" s="1">
        <v>0</v>
      </c>
      <c r="O35" s="1">
        <v>0</v>
      </c>
      <c r="P35" s="1">
        <v>6.9400000000000003E-2</v>
      </c>
      <c r="Q35" s="1">
        <v>0</v>
      </c>
      <c r="R35" s="1">
        <v>0</v>
      </c>
      <c r="S35" s="1">
        <v>6.54E-2</v>
      </c>
      <c r="T35" s="1">
        <v>6.3899999999999998E-2</v>
      </c>
      <c r="U35" s="1">
        <v>7.2099999999999997E-2</v>
      </c>
      <c r="V35" s="1">
        <v>0</v>
      </c>
      <c r="W35" s="1">
        <v>0</v>
      </c>
      <c r="X35" s="1">
        <v>6.8699999999999997E-2</v>
      </c>
      <c r="Y35" s="1">
        <v>7.2499999999999995E-2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7.2499999999999995E-2</v>
      </c>
      <c r="AJ35" s="1">
        <v>7.6200000000000004E-2</v>
      </c>
      <c r="AK35" s="1">
        <v>7.6700000000000004E-2</v>
      </c>
      <c r="AL35" s="1">
        <v>0</v>
      </c>
      <c r="AM35" s="1">
        <v>7.0800000000000002E-2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7.0199999999999999E-2</v>
      </c>
      <c r="BE35" s="1">
        <v>6.9199999999999998E-2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7.1800000000000003E-2</v>
      </c>
      <c r="BM35" s="1">
        <v>0</v>
      </c>
    </row>
    <row r="36" spans="1:65" x14ac:dyDescent="0.3">
      <c r="A36" s="13" t="s">
        <v>0</v>
      </c>
      <c r="B36" s="1">
        <v>0.21709999999999999</v>
      </c>
      <c r="C36" s="1">
        <v>0.2329</v>
      </c>
      <c r="D36" s="1">
        <v>0.23649999999999999</v>
      </c>
      <c r="E36" s="1">
        <v>0.22439999999999999</v>
      </c>
      <c r="F36" s="1">
        <v>0.25409999999999999</v>
      </c>
      <c r="G36" s="1">
        <v>0.2021</v>
      </c>
      <c r="H36" s="1">
        <v>0.2283</v>
      </c>
      <c r="I36" s="1">
        <v>0.21840000000000001</v>
      </c>
      <c r="J36" s="1">
        <v>0.21149999999999999</v>
      </c>
      <c r="K36" s="1">
        <v>0.2102</v>
      </c>
      <c r="L36" s="1">
        <v>0.2301</v>
      </c>
      <c r="M36" s="1">
        <v>0.24970000000000001</v>
      </c>
      <c r="N36" s="1">
        <v>0.22259999999999999</v>
      </c>
      <c r="O36" s="1">
        <v>0.19059999999999999</v>
      </c>
      <c r="P36" s="1">
        <v>0.23449999999999999</v>
      </c>
      <c r="Q36" s="1">
        <v>0.1711</v>
      </c>
      <c r="R36" s="1">
        <v>0.19939999999999999</v>
      </c>
      <c r="S36" s="1">
        <v>0.1182</v>
      </c>
      <c r="T36" s="1">
        <v>0.12909999999999999</v>
      </c>
      <c r="U36" s="1">
        <v>0.2928</v>
      </c>
      <c r="V36" s="1">
        <v>0.2185</v>
      </c>
      <c r="W36" s="1">
        <v>0.23230000000000001</v>
      </c>
      <c r="X36" s="1">
        <v>0.2964</v>
      </c>
      <c r="Y36" s="1">
        <v>0.2266</v>
      </c>
      <c r="Z36" s="1">
        <v>0.24279999999999999</v>
      </c>
      <c r="AA36" s="1">
        <v>0.1915</v>
      </c>
      <c r="AB36" s="1">
        <v>0.24160000000000001</v>
      </c>
      <c r="AC36" s="1">
        <v>0.20100000000000001</v>
      </c>
      <c r="AD36" s="1">
        <v>0.20300000000000001</v>
      </c>
      <c r="AE36" s="1">
        <v>0.22339999999999999</v>
      </c>
      <c r="AF36" s="1">
        <v>0.17760000000000001</v>
      </c>
      <c r="AG36" s="1">
        <v>0.20319999999999999</v>
      </c>
      <c r="AH36" s="1">
        <v>0.2157</v>
      </c>
      <c r="AI36" s="1">
        <v>0.2316</v>
      </c>
      <c r="AJ36" s="1">
        <v>0.23719999999999999</v>
      </c>
      <c r="AK36" s="1">
        <v>0.28739999999999999</v>
      </c>
      <c r="AL36" s="1">
        <v>0.2132</v>
      </c>
      <c r="AM36" s="1">
        <v>0.21920000000000001</v>
      </c>
      <c r="AN36" s="1">
        <v>0.249</v>
      </c>
      <c r="AO36" s="1">
        <v>0.23949999999999999</v>
      </c>
      <c r="AP36" s="1">
        <v>0.221</v>
      </c>
      <c r="AQ36" s="1">
        <v>0.28760000000000002</v>
      </c>
      <c r="AR36" s="1">
        <v>0.23980000000000001</v>
      </c>
      <c r="AS36" s="1">
        <v>0.21840000000000001</v>
      </c>
      <c r="AT36" s="1">
        <v>0.19939999999999999</v>
      </c>
      <c r="AU36" s="1">
        <v>0.22120000000000001</v>
      </c>
      <c r="AV36" s="1">
        <v>0.25230000000000002</v>
      </c>
      <c r="AW36" s="1">
        <v>0.24110000000000001</v>
      </c>
      <c r="AX36" s="1">
        <v>0.1862</v>
      </c>
      <c r="AY36" s="1">
        <v>0.20960000000000001</v>
      </c>
      <c r="AZ36" s="1">
        <v>0.20019999999999999</v>
      </c>
      <c r="BA36" s="1">
        <v>0.1996</v>
      </c>
      <c r="BB36" s="1">
        <v>0.18559999999999999</v>
      </c>
      <c r="BC36" s="1">
        <v>0.2009</v>
      </c>
      <c r="BD36" s="1">
        <v>0.17630000000000001</v>
      </c>
      <c r="BE36" s="1">
        <v>0.19550000000000001</v>
      </c>
      <c r="BF36" s="1">
        <v>0.2485</v>
      </c>
      <c r="BG36" s="1">
        <v>0.19370000000000001</v>
      </c>
      <c r="BH36" s="1">
        <v>0.27610000000000001</v>
      </c>
      <c r="BI36" s="1">
        <v>0.30130000000000001</v>
      </c>
      <c r="BJ36" s="1">
        <v>0.24030000000000001</v>
      </c>
      <c r="BK36" s="1">
        <v>0.21829999999999999</v>
      </c>
      <c r="BL36" s="1">
        <v>0.2903</v>
      </c>
      <c r="BM36" s="1">
        <v>0.2356</v>
      </c>
    </row>
    <row r="37" spans="1:65" x14ac:dyDescent="0.3">
      <c r="A37" s="15" t="s">
        <v>1</v>
      </c>
      <c r="B37" s="9">
        <v>1.26E-2</v>
      </c>
      <c r="C37" s="9">
        <v>1.3599999999999999E-2</v>
      </c>
      <c r="D37" s="9">
        <v>1.2800000000000001E-2</v>
      </c>
      <c r="E37" s="9">
        <v>1.2699999999999999E-2</v>
      </c>
      <c r="F37" s="9">
        <v>1.3299999999999999E-2</v>
      </c>
      <c r="G37" s="9">
        <v>1.26E-2</v>
      </c>
      <c r="H37" s="9">
        <v>1.26E-2</v>
      </c>
      <c r="I37" s="9">
        <v>1.34E-2</v>
      </c>
      <c r="J37" s="9">
        <v>1.2999999999999999E-2</v>
      </c>
      <c r="K37" s="9">
        <v>1.26E-2</v>
      </c>
      <c r="L37" s="9">
        <v>1.2200000000000001E-2</v>
      </c>
      <c r="M37" s="9">
        <v>0</v>
      </c>
      <c r="N37" s="9">
        <v>1.3299999999999999E-2</v>
      </c>
      <c r="O37" s="9">
        <v>1.2500000000000001E-2</v>
      </c>
      <c r="P37" s="9">
        <v>1.34E-2</v>
      </c>
      <c r="Q37" s="9">
        <v>1.35E-2</v>
      </c>
      <c r="R37" s="9">
        <v>1.3100000000000001E-2</v>
      </c>
      <c r="S37" s="9">
        <v>1.2200000000000001E-2</v>
      </c>
      <c r="T37" s="9">
        <v>1.2800000000000001E-2</v>
      </c>
      <c r="U37" s="9">
        <v>1.12E-2</v>
      </c>
      <c r="V37" s="9">
        <v>1.38E-2</v>
      </c>
      <c r="W37" s="9">
        <v>1.26E-2</v>
      </c>
      <c r="X37" s="9">
        <v>1.2800000000000001E-2</v>
      </c>
      <c r="Y37" s="9">
        <v>1.24E-2</v>
      </c>
      <c r="Z37" s="9">
        <v>1.3599999999999999E-2</v>
      </c>
      <c r="AA37" s="9">
        <v>1.4E-2</v>
      </c>
      <c r="AB37" s="9">
        <v>1.2999999999999999E-2</v>
      </c>
      <c r="AC37" s="9">
        <v>1.32E-2</v>
      </c>
      <c r="AD37" s="9">
        <v>1.3299999999999999E-2</v>
      </c>
      <c r="AE37" s="9">
        <v>1.2200000000000001E-2</v>
      </c>
      <c r="AF37" s="9">
        <v>1.29E-2</v>
      </c>
      <c r="AG37" s="9">
        <v>1.2800000000000001E-2</v>
      </c>
      <c r="AH37" s="9">
        <v>1.3599999999999999E-2</v>
      </c>
      <c r="AI37" s="9">
        <v>1.2800000000000001E-2</v>
      </c>
      <c r="AJ37" s="9">
        <v>1.2999999999999999E-2</v>
      </c>
      <c r="AK37" s="9">
        <v>1.2999999999999999E-2</v>
      </c>
      <c r="AL37" s="9">
        <v>1.18E-2</v>
      </c>
      <c r="AM37" s="9">
        <v>1.21E-2</v>
      </c>
      <c r="AN37" s="9">
        <v>1.4E-2</v>
      </c>
      <c r="AO37" s="9">
        <v>1.3299999999999999E-2</v>
      </c>
      <c r="AP37" s="9">
        <v>1.4E-2</v>
      </c>
      <c r="AQ37" s="9">
        <v>1.32E-2</v>
      </c>
      <c r="AR37" s="9">
        <v>1.2500000000000001E-2</v>
      </c>
      <c r="AS37" s="9">
        <v>1.3100000000000001E-2</v>
      </c>
      <c r="AT37" s="9">
        <v>1.32E-2</v>
      </c>
      <c r="AU37" s="9">
        <v>1.47E-2</v>
      </c>
      <c r="AV37" s="9">
        <v>1.24E-2</v>
      </c>
      <c r="AW37" s="9">
        <v>1.29E-2</v>
      </c>
      <c r="AX37" s="9">
        <v>1.18E-2</v>
      </c>
      <c r="AY37" s="9">
        <v>1.3100000000000001E-2</v>
      </c>
      <c r="AZ37" s="9">
        <v>1.2800000000000001E-2</v>
      </c>
      <c r="BA37" s="9">
        <v>1.2999999999999999E-2</v>
      </c>
      <c r="BB37" s="9">
        <v>1.3599999999999999E-2</v>
      </c>
      <c r="BC37" s="9">
        <v>1.23E-2</v>
      </c>
      <c r="BD37" s="9">
        <v>1.23E-2</v>
      </c>
      <c r="BE37" s="9">
        <v>1.2E-2</v>
      </c>
      <c r="BF37" s="9">
        <v>1.37E-2</v>
      </c>
      <c r="BG37" s="9">
        <v>1.2699999999999999E-2</v>
      </c>
      <c r="BH37" s="9">
        <v>1.12E-2</v>
      </c>
      <c r="BI37" s="9">
        <v>1.17E-2</v>
      </c>
      <c r="BJ37" s="9">
        <v>1.17E-2</v>
      </c>
      <c r="BK37" s="9">
        <v>1.2800000000000001E-2</v>
      </c>
      <c r="BL37" s="9">
        <v>1.2800000000000001E-2</v>
      </c>
      <c r="BM37" s="9">
        <v>1.2500000000000001E-2</v>
      </c>
    </row>
  </sheetData>
  <mergeCells count="1">
    <mergeCell ref="A1:XF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8E8B7-CB4C-4195-A779-34EBE0676C11}">
  <dimension ref="A1:DZ40"/>
  <sheetViews>
    <sheetView showGridLines="0" workbookViewId="0">
      <selection activeCell="B3" sqref="B3"/>
    </sheetView>
  </sheetViews>
  <sheetFormatPr baseColWidth="10" defaultRowHeight="14.4" x14ac:dyDescent="0.3"/>
  <sheetData>
    <row r="1" spans="1:130" s="37" customFormat="1" x14ac:dyDescent="0.3">
      <c r="A1" s="37" t="s">
        <v>880</v>
      </c>
    </row>
    <row r="5" spans="1:130" s="1" customFormat="1" x14ac:dyDescent="0.3"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19" t="s">
        <v>16</v>
      </c>
      <c r="Q5" s="19" t="s">
        <v>17</v>
      </c>
      <c r="R5" s="19" t="s">
        <v>18</v>
      </c>
      <c r="S5" s="19" t="s">
        <v>19</v>
      </c>
      <c r="T5" s="19" t="s">
        <v>20</v>
      </c>
      <c r="U5" s="19" t="s">
        <v>21</v>
      </c>
      <c r="V5" s="19" t="s">
        <v>22</v>
      </c>
      <c r="W5" s="19" t="s">
        <v>23</v>
      </c>
      <c r="X5" s="19" t="s">
        <v>24</v>
      </c>
      <c r="Y5" s="19" t="s">
        <v>25</v>
      </c>
      <c r="Z5" s="19" t="s">
        <v>26</v>
      </c>
      <c r="AA5" s="19" t="s">
        <v>27</v>
      </c>
      <c r="AB5" s="19" t="s">
        <v>28</v>
      </c>
      <c r="AC5" s="19" t="s">
        <v>29</v>
      </c>
      <c r="AD5" s="19" t="s">
        <v>30</v>
      </c>
      <c r="AE5" s="19" t="s">
        <v>31</v>
      </c>
      <c r="AF5" s="19" t="s">
        <v>32</v>
      </c>
      <c r="AG5" s="19" t="s">
        <v>33</v>
      </c>
      <c r="AH5" s="19" t="s">
        <v>34</v>
      </c>
      <c r="AI5" s="19" t="s">
        <v>35</v>
      </c>
      <c r="AJ5" s="19" t="s">
        <v>36</v>
      </c>
      <c r="AK5" s="19" t="s">
        <v>37</v>
      </c>
      <c r="AL5" s="19" t="s">
        <v>38</v>
      </c>
      <c r="AM5" s="19" t="s">
        <v>39</v>
      </c>
      <c r="AN5" s="19" t="s">
        <v>40</v>
      </c>
      <c r="AO5" s="19" t="s">
        <v>41</v>
      </c>
      <c r="AP5" s="19" t="s">
        <v>42</v>
      </c>
      <c r="AQ5" s="19" t="s">
        <v>43</v>
      </c>
      <c r="AR5" s="19" t="s">
        <v>44</v>
      </c>
      <c r="AS5" s="19" t="s">
        <v>45</v>
      </c>
      <c r="AT5" s="19" t="s">
        <v>46</v>
      </c>
      <c r="AU5" s="19" t="s">
        <v>47</v>
      </c>
      <c r="AV5" s="19" t="s">
        <v>48</v>
      </c>
      <c r="AW5" s="19" t="s">
        <v>49</v>
      </c>
      <c r="AX5" s="19" t="s">
        <v>50</v>
      </c>
      <c r="AY5" s="19" t="s">
        <v>51</v>
      </c>
      <c r="AZ5" s="19" t="s">
        <v>52</v>
      </c>
      <c r="BA5" s="19" t="s">
        <v>53</v>
      </c>
      <c r="BB5" s="19" t="s">
        <v>54</v>
      </c>
      <c r="BC5" s="19" t="s">
        <v>55</v>
      </c>
      <c r="BD5" s="19" t="s">
        <v>56</v>
      </c>
      <c r="BE5" s="19" t="s">
        <v>57</v>
      </c>
      <c r="BF5" s="19" t="s">
        <v>58</v>
      </c>
      <c r="BG5" s="19" t="s">
        <v>59</v>
      </c>
      <c r="BH5" s="19" t="s">
        <v>60</v>
      </c>
      <c r="BI5" s="19" t="s">
        <v>61</v>
      </c>
      <c r="BJ5" s="19" t="s">
        <v>62</v>
      </c>
      <c r="BK5" s="19" t="s">
        <v>63</v>
      </c>
      <c r="BL5" s="19" t="s">
        <v>64</v>
      </c>
      <c r="BM5" s="19" t="s">
        <v>65</v>
      </c>
      <c r="BN5" s="19" t="s">
        <v>66</v>
      </c>
      <c r="BO5" s="19" t="s">
        <v>67</v>
      </c>
      <c r="BP5" s="19" t="s">
        <v>68</v>
      </c>
      <c r="BQ5" s="19" t="s">
        <v>69</v>
      </c>
      <c r="BR5" s="19" t="s">
        <v>70</v>
      </c>
      <c r="BS5" s="19" t="s">
        <v>71</v>
      </c>
      <c r="BT5" s="19" t="s">
        <v>72</v>
      </c>
      <c r="BU5" s="19" t="s">
        <v>73</v>
      </c>
      <c r="BV5" s="19" t="s">
        <v>74</v>
      </c>
      <c r="BW5" s="19" t="s">
        <v>75</v>
      </c>
      <c r="BX5" s="19" t="s">
        <v>76</v>
      </c>
      <c r="BY5" s="19" t="s">
        <v>77</v>
      </c>
      <c r="BZ5" s="19" t="s">
        <v>78</v>
      </c>
      <c r="CA5" s="19" t="s">
        <v>79</v>
      </c>
      <c r="CB5" s="19" t="s">
        <v>80</v>
      </c>
      <c r="CC5" s="19" t="s">
        <v>256</v>
      </c>
      <c r="CD5" s="19" t="s">
        <v>257</v>
      </c>
      <c r="CE5" s="19" t="s">
        <v>258</v>
      </c>
      <c r="CF5" s="19" t="s">
        <v>259</v>
      </c>
      <c r="CG5" s="19" t="s">
        <v>260</v>
      </c>
      <c r="CH5" s="19" t="s">
        <v>261</v>
      </c>
      <c r="CI5" s="19" t="s">
        <v>262</v>
      </c>
      <c r="CJ5" s="19" t="s">
        <v>263</v>
      </c>
      <c r="CK5" s="19" t="s">
        <v>264</v>
      </c>
      <c r="CL5" s="19" t="s">
        <v>265</v>
      </c>
      <c r="CM5" s="19" t="s">
        <v>266</v>
      </c>
      <c r="CN5" s="19" t="s">
        <v>267</v>
      </c>
      <c r="CO5" s="19" t="s">
        <v>268</v>
      </c>
      <c r="CP5" s="19" t="s">
        <v>269</v>
      </c>
      <c r="CQ5" s="19" t="s">
        <v>270</v>
      </c>
      <c r="CR5" s="19" t="s">
        <v>271</v>
      </c>
      <c r="CS5" s="19" t="s">
        <v>272</v>
      </c>
      <c r="CT5" s="19" t="s">
        <v>273</v>
      </c>
      <c r="CU5" s="19" t="s">
        <v>274</v>
      </c>
      <c r="CV5" s="19" t="s">
        <v>275</v>
      </c>
      <c r="CW5" s="19" t="s">
        <v>276</v>
      </c>
      <c r="CX5" s="19" t="s">
        <v>277</v>
      </c>
      <c r="CY5" s="19" t="s">
        <v>278</v>
      </c>
      <c r="CZ5" s="19" t="s">
        <v>2</v>
      </c>
      <c r="DA5" s="19" t="s">
        <v>3</v>
      </c>
      <c r="DB5" s="19" t="s">
        <v>4</v>
      </c>
      <c r="DC5" s="19" t="s">
        <v>5</v>
      </c>
      <c r="DD5" s="19" t="s">
        <v>6</v>
      </c>
      <c r="DE5" s="19" t="s">
        <v>7</v>
      </c>
      <c r="DF5" s="19" t="s">
        <v>8</v>
      </c>
      <c r="DG5" s="19" t="s">
        <v>9</v>
      </c>
      <c r="DH5" s="19" t="s">
        <v>10</v>
      </c>
      <c r="DI5" s="19" t="s">
        <v>11</v>
      </c>
      <c r="DJ5" s="19" t="s">
        <v>12</v>
      </c>
      <c r="DK5" s="19" t="s">
        <v>13</v>
      </c>
      <c r="DL5" s="19" t="s">
        <v>14</v>
      </c>
      <c r="DM5" s="19" t="s">
        <v>15</v>
      </c>
      <c r="DN5" s="19" t="s">
        <v>16</v>
      </c>
      <c r="DO5" s="19" t="s">
        <v>17</v>
      </c>
      <c r="DP5" s="19" t="s">
        <v>18</v>
      </c>
      <c r="DQ5" s="19" t="s">
        <v>19</v>
      </c>
      <c r="DR5" s="19" t="s">
        <v>20</v>
      </c>
      <c r="DS5" s="19" t="s">
        <v>21</v>
      </c>
      <c r="DT5" s="19" t="s">
        <v>22</v>
      </c>
      <c r="DU5" s="19" t="s">
        <v>23</v>
      </c>
      <c r="DV5" s="19" t="s">
        <v>24</v>
      </c>
      <c r="DW5" s="19" t="s">
        <v>25</v>
      </c>
      <c r="DX5" s="19" t="s">
        <v>26</v>
      </c>
      <c r="DY5" s="19" t="s">
        <v>27</v>
      </c>
      <c r="DZ5" s="19" t="s">
        <v>28</v>
      </c>
    </row>
    <row r="6" spans="1:130" s="18" customFormat="1" x14ac:dyDescent="0.3">
      <c r="B6" s="20" t="s">
        <v>279</v>
      </c>
      <c r="C6" s="20" t="s">
        <v>280</v>
      </c>
      <c r="D6" s="20" t="s">
        <v>281</v>
      </c>
      <c r="E6" s="20" t="s">
        <v>282</v>
      </c>
      <c r="F6" s="20" t="s">
        <v>283</v>
      </c>
      <c r="G6" s="20" t="s">
        <v>284</v>
      </c>
      <c r="H6" s="20" t="s">
        <v>285</v>
      </c>
      <c r="I6" s="20" t="s">
        <v>286</v>
      </c>
      <c r="J6" s="20" t="s">
        <v>287</v>
      </c>
      <c r="K6" s="20" t="s">
        <v>288</v>
      </c>
      <c r="L6" s="20" t="s">
        <v>289</v>
      </c>
      <c r="M6" s="20" t="s">
        <v>290</v>
      </c>
      <c r="N6" s="20" t="s">
        <v>291</v>
      </c>
      <c r="O6" s="20" t="s">
        <v>292</v>
      </c>
      <c r="P6" s="20" t="s">
        <v>293</v>
      </c>
      <c r="Q6" s="20" t="s">
        <v>294</v>
      </c>
      <c r="R6" s="20" t="s">
        <v>295</v>
      </c>
      <c r="S6" s="20" t="s">
        <v>296</v>
      </c>
      <c r="T6" s="20" t="s">
        <v>297</v>
      </c>
      <c r="U6" s="20" t="s">
        <v>298</v>
      </c>
      <c r="V6" s="20" t="s">
        <v>299</v>
      </c>
      <c r="W6" s="20" t="s">
        <v>300</v>
      </c>
      <c r="X6" s="20" t="s">
        <v>301</v>
      </c>
      <c r="Y6" s="20" t="s">
        <v>302</v>
      </c>
      <c r="Z6" s="20" t="s">
        <v>303</v>
      </c>
      <c r="AA6" s="20" t="s">
        <v>304</v>
      </c>
      <c r="AB6" s="20" t="s">
        <v>305</v>
      </c>
      <c r="AC6" s="20" t="s">
        <v>306</v>
      </c>
      <c r="AD6" s="20" t="s">
        <v>307</v>
      </c>
      <c r="AE6" s="20" t="s">
        <v>308</v>
      </c>
      <c r="AF6" s="20" t="s">
        <v>309</v>
      </c>
      <c r="AG6" s="20" t="s">
        <v>310</v>
      </c>
      <c r="AH6" s="20" t="s">
        <v>311</v>
      </c>
      <c r="AI6" s="20" t="s">
        <v>312</v>
      </c>
      <c r="AJ6" s="20" t="s">
        <v>313</v>
      </c>
      <c r="AK6" s="20" t="s">
        <v>314</v>
      </c>
      <c r="AL6" s="20" t="s">
        <v>315</v>
      </c>
      <c r="AM6" s="20" t="s">
        <v>316</v>
      </c>
      <c r="AN6" s="20" t="s">
        <v>317</v>
      </c>
      <c r="AO6" s="20" t="s">
        <v>318</v>
      </c>
      <c r="AP6" s="20" t="s">
        <v>319</v>
      </c>
      <c r="AQ6" s="20" t="s">
        <v>320</v>
      </c>
      <c r="AR6" s="20" t="s">
        <v>321</v>
      </c>
      <c r="AS6" s="20" t="s">
        <v>322</v>
      </c>
      <c r="AT6" s="20" t="s">
        <v>323</v>
      </c>
      <c r="AU6" s="20" t="s">
        <v>324</v>
      </c>
      <c r="AV6" s="20" t="s">
        <v>325</v>
      </c>
      <c r="AW6" s="20" t="s">
        <v>326</v>
      </c>
      <c r="AX6" s="20" t="s">
        <v>327</v>
      </c>
      <c r="AY6" s="20" t="s">
        <v>328</v>
      </c>
      <c r="AZ6" s="20" t="s">
        <v>329</v>
      </c>
      <c r="BA6" s="20" t="s">
        <v>330</v>
      </c>
      <c r="BB6" s="20" t="s">
        <v>331</v>
      </c>
      <c r="BC6" s="20" t="s">
        <v>332</v>
      </c>
      <c r="BD6" s="20" t="s">
        <v>333</v>
      </c>
      <c r="BE6" s="20" t="s">
        <v>334</v>
      </c>
      <c r="BF6" s="20" t="s">
        <v>335</v>
      </c>
      <c r="BG6" s="20" t="s">
        <v>336</v>
      </c>
      <c r="BH6" s="20" t="s">
        <v>337</v>
      </c>
      <c r="BI6" s="20" t="s">
        <v>338</v>
      </c>
      <c r="BJ6" s="20" t="s">
        <v>339</v>
      </c>
      <c r="BK6" s="20" t="s">
        <v>340</v>
      </c>
      <c r="BL6" s="20" t="s">
        <v>341</v>
      </c>
      <c r="BM6" s="20" t="s">
        <v>342</v>
      </c>
      <c r="BN6" s="20" t="s">
        <v>343</v>
      </c>
      <c r="BO6" s="20" t="s">
        <v>344</v>
      </c>
      <c r="BP6" s="20" t="s">
        <v>345</v>
      </c>
      <c r="BQ6" s="20" t="s">
        <v>346</v>
      </c>
      <c r="BR6" s="20" t="s">
        <v>347</v>
      </c>
      <c r="BS6" s="20" t="s">
        <v>348</v>
      </c>
      <c r="BT6" s="20" t="s">
        <v>349</v>
      </c>
      <c r="BU6" s="20" t="s">
        <v>350</v>
      </c>
      <c r="BV6" s="20" t="s">
        <v>351</v>
      </c>
      <c r="BW6" s="20" t="s">
        <v>352</v>
      </c>
      <c r="BX6" s="20" t="s">
        <v>353</v>
      </c>
      <c r="BY6" s="20" t="s">
        <v>354</v>
      </c>
      <c r="BZ6" s="20" t="s">
        <v>355</v>
      </c>
      <c r="CA6" s="20" t="s">
        <v>356</v>
      </c>
      <c r="CB6" s="20" t="s">
        <v>357</v>
      </c>
      <c r="CC6" s="20" t="s">
        <v>358</v>
      </c>
      <c r="CD6" s="20" t="s">
        <v>359</v>
      </c>
      <c r="CE6" s="20" t="s">
        <v>360</v>
      </c>
      <c r="CF6" s="20" t="s">
        <v>361</v>
      </c>
      <c r="CG6" s="20" t="s">
        <v>362</v>
      </c>
      <c r="CH6" s="20" t="s">
        <v>363</v>
      </c>
      <c r="CI6" s="20" t="s">
        <v>364</v>
      </c>
      <c r="CJ6" s="20" t="s">
        <v>365</v>
      </c>
      <c r="CK6" s="20" t="s">
        <v>366</v>
      </c>
      <c r="CL6" s="20" t="s">
        <v>367</v>
      </c>
      <c r="CM6" s="20" t="s">
        <v>368</v>
      </c>
      <c r="CN6" s="20" t="s">
        <v>369</v>
      </c>
      <c r="CO6" s="20" t="s">
        <v>370</v>
      </c>
      <c r="CP6" s="20" t="s">
        <v>371</v>
      </c>
      <c r="CQ6" s="20" t="s">
        <v>372</v>
      </c>
      <c r="CR6" s="20" t="s">
        <v>373</v>
      </c>
      <c r="CS6" s="20" t="s">
        <v>374</v>
      </c>
      <c r="CT6" s="20" t="s">
        <v>375</v>
      </c>
      <c r="CU6" s="20" t="s">
        <v>376</v>
      </c>
      <c r="CV6" s="20" t="s">
        <v>377</v>
      </c>
      <c r="CW6" s="20" t="s">
        <v>378</v>
      </c>
      <c r="CX6" s="20" t="s">
        <v>379</v>
      </c>
      <c r="CY6" s="20" t="s">
        <v>380</v>
      </c>
      <c r="CZ6" s="20" t="s">
        <v>381</v>
      </c>
      <c r="DA6" s="20" t="s">
        <v>382</v>
      </c>
      <c r="DB6" s="20" t="s">
        <v>383</v>
      </c>
      <c r="DC6" s="20" t="s">
        <v>384</v>
      </c>
      <c r="DD6" s="20" t="s">
        <v>385</v>
      </c>
      <c r="DE6" s="20" t="s">
        <v>386</v>
      </c>
      <c r="DF6" s="20" t="s">
        <v>387</v>
      </c>
      <c r="DG6" s="20" t="s">
        <v>388</v>
      </c>
      <c r="DH6" s="20" t="s">
        <v>389</v>
      </c>
      <c r="DI6" s="20" t="s">
        <v>390</v>
      </c>
      <c r="DJ6" s="20" t="s">
        <v>391</v>
      </c>
      <c r="DK6" s="20" t="s">
        <v>392</v>
      </c>
      <c r="DL6" s="20" t="s">
        <v>393</v>
      </c>
      <c r="DM6" s="20" t="s">
        <v>394</v>
      </c>
      <c r="DN6" s="20" t="s">
        <v>395</v>
      </c>
      <c r="DO6" s="20" t="s">
        <v>396</v>
      </c>
      <c r="DP6" s="20" t="s">
        <v>397</v>
      </c>
      <c r="DQ6" s="20" t="s">
        <v>398</v>
      </c>
      <c r="DR6" s="20" t="s">
        <v>399</v>
      </c>
      <c r="DS6" s="20" t="s">
        <v>400</v>
      </c>
      <c r="DT6" s="20" t="s">
        <v>401</v>
      </c>
      <c r="DU6" s="20" t="s">
        <v>402</v>
      </c>
      <c r="DV6" s="20" t="s">
        <v>403</v>
      </c>
      <c r="DW6" s="20" t="s">
        <v>404</v>
      </c>
      <c r="DX6" s="20" t="s">
        <v>405</v>
      </c>
      <c r="DY6" s="20" t="s">
        <v>406</v>
      </c>
      <c r="DZ6" s="20" t="s">
        <v>407</v>
      </c>
    </row>
    <row r="7" spans="1:130" x14ac:dyDescent="0.3">
      <c r="A7" s="2" t="s">
        <v>161</v>
      </c>
      <c r="B7" s="1">
        <v>1.5440000000000001E-2</v>
      </c>
      <c r="C7" s="1">
        <v>1.555E-2</v>
      </c>
      <c r="D7" s="1">
        <v>1.5140000000000001E-2</v>
      </c>
      <c r="E7" s="1">
        <v>1.5679999999999999E-2</v>
      </c>
      <c r="F7" s="1">
        <v>1.5339999999999999E-2</v>
      </c>
      <c r="G7" s="1">
        <v>1.5970000000000002E-2</v>
      </c>
      <c r="H7" s="1">
        <v>1.5520000000000001E-2</v>
      </c>
      <c r="I7" s="1">
        <v>1.6150000000000001E-2</v>
      </c>
      <c r="J7" s="1">
        <v>1.5440000000000001E-2</v>
      </c>
      <c r="K7" s="1">
        <v>1.5350000000000001E-2</v>
      </c>
      <c r="L7" s="1">
        <v>1.635E-2</v>
      </c>
      <c r="M7" s="1">
        <v>1.627E-2</v>
      </c>
      <c r="N7" s="1">
        <v>1.4749999999999999E-2</v>
      </c>
      <c r="O7" s="1">
        <v>1.6080000000000001E-2</v>
      </c>
      <c r="P7" s="1">
        <v>1.5440000000000001E-2</v>
      </c>
      <c r="Q7" s="1">
        <v>1.5219999999999999E-2</v>
      </c>
      <c r="R7" s="1">
        <v>1.473E-2</v>
      </c>
      <c r="S7" s="1">
        <v>1.519E-2</v>
      </c>
      <c r="T7" s="1">
        <v>1.6289999999999999E-2</v>
      </c>
      <c r="U7" s="1">
        <v>1.481E-2</v>
      </c>
      <c r="V7" s="1">
        <v>1.5520000000000001E-2</v>
      </c>
      <c r="W7" s="1">
        <v>1.593E-2</v>
      </c>
      <c r="X7" s="1">
        <v>1.507E-2</v>
      </c>
      <c r="Y7" s="1">
        <v>1.5939999999999999E-2</v>
      </c>
      <c r="Z7" s="1">
        <v>1.4880000000000001E-2</v>
      </c>
      <c r="AA7" s="1">
        <v>1.5180000000000001E-2</v>
      </c>
      <c r="AB7" s="1">
        <v>1.5709999999999998E-2</v>
      </c>
      <c r="AC7" s="1">
        <v>1.555E-2</v>
      </c>
      <c r="AD7" s="1">
        <v>1.506E-2</v>
      </c>
      <c r="AE7" s="1">
        <v>1.5140000000000001E-2</v>
      </c>
      <c r="AF7" s="1">
        <v>1.5980000000000001E-2</v>
      </c>
      <c r="AG7" s="1">
        <v>1.5689999999999999E-2</v>
      </c>
      <c r="AH7" s="1">
        <v>1.485E-2</v>
      </c>
      <c r="AI7" s="1">
        <v>1.478E-2</v>
      </c>
      <c r="AJ7" s="1">
        <v>1.5180000000000001E-2</v>
      </c>
      <c r="AK7" s="1">
        <v>1.5469999999999999E-2</v>
      </c>
      <c r="AL7" s="1">
        <v>1.5859999999999999E-2</v>
      </c>
      <c r="AM7" s="1">
        <v>1.5299999999999999E-2</v>
      </c>
      <c r="AN7" s="1">
        <v>1.4760000000000001E-2</v>
      </c>
      <c r="AO7" s="1">
        <v>1.206E-2</v>
      </c>
      <c r="AP7" s="1">
        <v>1.5630000000000002E-2</v>
      </c>
      <c r="AQ7" s="1">
        <v>1.511E-2</v>
      </c>
      <c r="AR7" s="1">
        <v>1.511E-2</v>
      </c>
      <c r="AS7" s="1">
        <v>1.508E-2</v>
      </c>
      <c r="AT7" s="1">
        <v>1.4120000000000001E-2</v>
      </c>
      <c r="AU7" s="1">
        <v>1.5339999999999999E-2</v>
      </c>
      <c r="AV7" s="1">
        <v>1.5429999999999999E-2</v>
      </c>
      <c r="AW7" s="1">
        <v>1.6029999999999999E-2</v>
      </c>
      <c r="AX7" s="1">
        <v>1.417E-2</v>
      </c>
      <c r="AY7" s="1">
        <v>1.5129999999999999E-2</v>
      </c>
      <c r="AZ7" s="1">
        <v>1.4930000000000001E-2</v>
      </c>
      <c r="BA7" s="1">
        <v>1.504E-2</v>
      </c>
      <c r="BB7" s="1">
        <v>1.495E-2</v>
      </c>
      <c r="BC7" s="1">
        <v>1.609E-2</v>
      </c>
      <c r="BD7" s="1">
        <v>1.477E-2</v>
      </c>
      <c r="BE7" s="1">
        <v>1.4829999999999999E-2</v>
      </c>
      <c r="BF7" s="1">
        <v>1.4970000000000001E-2</v>
      </c>
      <c r="BG7" s="1">
        <v>1.5089999999999999E-2</v>
      </c>
      <c r="BH7" s="1">
        <v>1.438E-2</v>
      </c>
      <c r="BI7" s="1">
        <v>1.106E-2</v>
      </c>
      <c r="BJ7" s="1">
        <v>1.541E-2</v>
      </c>
      <c r="BK7" s="1">
        <v>1.5129999999999999E-2</v>
      </c>
      <c r="BL7" s="1">
        <v>1.529E-2</v>
      </c>
      <c r="BM7" s="1">
        <v>1.4970000000000001E-2</v>
      </c>
      <c r="BN7" s="1">
        <v>1.5570000000000001E-2</v>
      </c>
      <c r="BO7" s="1">
        <v>1.5800000000000002E-2</v>
      </c>
      <c r="BP7" s="1">
        <v>1.0120000000000001E-2</v>
      </c>
      <c r="BQ7" s="1">
        <v>1.585E-2</v>
      </c>
      <c r="BR7" s="1">
        <v>1.5890000000000001E-2</v>
      </c>
      <c r="BS7" s="1">
        <v>1.5429999999999999E-2</v>
      </c>
      <c r="BT7" s="1">
        <v>1.4840000000000001E-2</v>
      </c>
      <c r="BU7" s="1">
        <v>1.451E-2</v>
      </c>
      <c r="BV7" s="1">
        <v>1.5730000000000001E-2</v>
      </c>
      <c r="BW7" s="1">
        <v>1.5509999999999999E-2</v>
      </c>
      <c r="BX7" s="1">
        <v>1.5959999999999998E-2</v>
      </c>
      <c r="BY7" s="1">
        <v>1.528E-2</v>
      </c>
      <c r="BZ7" s="1">
        <v>1.0240000000000001E-2</v>
      </c>
      <c r="CA7" s="1">
        <v>1.4670000000000001E-2</v>
      </c>
      <c r="CB7" s="1">
        <v>1.489E-2</v>
      </c>
      <c r="CC7" s="1">
        <v>1.6109999999999999E-2</v>
      </c>
      <c r="CD7" s="1">
        <v>1.635E-2</v>
      </c>
      <c r="CE7" s="1">
        <v>1.542E-2</v>
      </c>
      <c r="CF7" s="1">
        <v>1.473E-2</v>
      </c>
      <c r="CG7" s="1">
        <v>1.5140000000000001E-2</v>
      </c>
      <c r="CH7" s="1">
        <v>1.094E-2</v>
      </c>
      <c r="CI7" s="1">
        <v>1.525E-2</v>
      </c>
      <c r="CJ7" s="1">
        <v>1.525E-2</v>
      </c>
      <c r="CK7" s="1">
        <v>9.58E-3</v>
      </c>
      <c r="CL7" s="1">
        <v>1.5169999999999999E-2</v>
      </c>
      <c r="CM7" s="1">
        <v>1.5810000000000001E-2</v>
      </c>
      <c r="CN7" s="1">
        <v>1.504E-2</v>
      </c>
      <c r="CO7" s="1">
        <v>1.5219999999999999E-2</v>
      </c>
      <c r="CP7" s="1">
        <v>1.4019999999999999E-2</v>
      </c>
      <c r="CQ7" s="1">
        <v>1.43E-2</v>
      </c>
      <c r="CR7" s="1">
        <v>1.491E-2</v>
      </c>
      <c r="CS7" s="1">
        <v>1.6039999999999999E-2</v>
      </c>
      <c r="CT7" s="1">
        <v>1.525E-2</v>
      </c>
      <c r="CU7" s="1">
        <v>1.481E-2</v>
      </c>
      <c r="CV7" s="1">
        <v>1.444E-2</v>
      </c>
      <c r="CW7" s="1">
        <v>1.5970000000000002E-2</v>
      </c>
      <c r="CX7" s="1">
        <v>1.495E-2</v>
      </c>
      <c r="CY7" s="1">
        <v>1.617E-2</v>
      </c>
      <c r="CZ7" s="1">
        <v>1.5100000000000001E-2</v>
      </c>
      <c r="DA7" s="1">
        <v>1.47E-2</v>
      </c>
      <c r="DB7" s="1">
        <v>1.09E-2</v>
      </c>
      <c r="DC7" s="1">
        <v>1.4500000000000001E-2</v>
      </c>
      <c r="DD7" s="1">
        <v>1.52E-2</v>
      </c>
      <c r="DE7" s="1">
        <v>1.4E-2</v>
      </c>
      <c r="DF7" s="1">
        <v>1.49E-2</v>
      </c>
      <c r="DG7" s="1">
        <v>1.55E-2</v>
      </c>
      <c r="DH7" s="1">
        <v>1.6500000000000001E-2</v>
      </c>
      <c r="DI7" s="1">
        <v>1.61E-2</v>
      </c>
      <c r="DJ7" s="1">
        <v>1.5699999999999999E-2</v>
      </c>
      <c r="DK7" s="1">
        <v>1.6400000000000001E-2</v>
      </c>
      <c r="DL7" s="1">
        <v>1.49E-2</v>
      </c>
      <c r="DM7" s="1">
        <v>1.52E-2</v>
      </c>
      <c r="DN7" s="1">
        <v>1.38E-2</v>
      </c>
      <c r="DO7" s="1">
        <v>1.5599999999999999E-2</v>
      </c>
      <c r="DP7" s="1">
        <v>1.43E-2</v>
      </c>
      <c r="DQ7" s="1">
        <v>1.6799999999999999E-2</v>
      </c>
      <c r="DR7" s="1">
        <v>1.5299999999999999E-2</v>
      </c>
      <c r="DS7" s="1">
        <v>1.4999999999999999E-2</v>
      </c>
      <c r="DT7" s="1">
        <v>1.4999999999999999E-2</v>
      </c>
      <c r="DU7" s="1">
        <v>1.54E-2</v>
      </c>
      <c r="DV7" s="1">
        <v>1.46E-2</v>
      </c>
      <c r="DW7" s="1">
        <v>1.43E-2</v>
      </c>
      <c r="DX7" s="1">
        <v>1.5599999999999999E-2</v>
      </c>
      <c r="DY7" s="1">
        <v>1.5800000000000002E-2</v>
      </c>
      <c r="DZ7" s="1">
        <v>1.49E-2</v>
      </c>
    </row>
    <row r="8" spans="1:130" x14ac:dyDescent="0.3">
      <c r="A8" s="2" t="s">
        <v>162</v>
      </c>
      <c r="B8" s="1">
        <v>0</v>
      </c>
      <c r="C8" s="1">
        <v>0</v>
      </c>
      <c r="D8" s="1">
        <v>1.405E-2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1.3809999999999999E-2</v>
      </c>
      <c r="K8" s="1">
        <v>1.805E-2</v>
      </c>
      <c r="L8" s="1">
        <v>1.8599999999999998E-2</v>
      </c>
      <c r="M8" s="1">
        <v>0</v>
      </c>
      <c r="N8" s="1">
        <v>1.393E-2</v>
      </c>
      <c r="O8" s="1">
        <v>0</v>
      </c>
      <c r="P8" s="1">
        <v>1.359E-2</v>
      </c>
      <c r="Q8" s="1">
        <v>1.5610000000000001E-2</v>
      </c>
      <c r="R8" s="1">
        <v>1.6789999999999999E-2</v>
      </c>
      <c r="S8" s="1">
        <v>1.6119999999999999E-2</v>
      </c>
      <c r="T8" s="1">
        <v>0</v>
      </c>
      <c r="U8" s="1">
        <v>1.2880000000000001E-2</v>
      </c>
      <c r="V8" s="1">
        <v>1.3180000000000001E-2</v>
      </c>
      <c r="W8" s="1">
        <v>0</v>
      </c>
      <c r="X8" s="1">
        <v>1.358E-2</v>
      </c>
      <c r="Y8" s="1">
        <v>1.5890000000000001E-2</v>
      </c>
      <c r="Z8" s="1">
        <v>1.653E-2</v>
      </c>
      <c r="AA8" s="1">
        <v>1.771E-2</v>
      </c>
      <c r="AB8" s="1">
        <v>0</v>
      </c>
      <c r="AC8" s="1">
        <v>0</v>
      </c>
      <c r="AD8" s="1">
        <v>1.384E-2</v>
      </c>
      <c r="AE8" s="1">
        <v>1.2970000000000001E-2</v>
      </c>
      <c r="AF8" s="1">
        <v>0</v>
      </c>
      <c r="AG8" s="1">
        <v>0</v>
      </c>
      <c r="AH8" s="1">
        <v>0</v>
      </c>
      <c r="AI8" s="1">
        <v>1.6049999999999998E-2</v>
      </c>
      <c r="AJ8" s="1">
        <v>1.4619999999999999E-2</v>
      </c>
      <c r="AK8" s="1">
        <v>1.3089999999999999E-2</v>
      </c>
      <c r="AL8" s="1">
        <v>0</v>
      </c>
      <c r="AM8" s="1">
        <v>1.4160000000000001E-2</v>
      </c>
      <c r="AN8" s="1">
        <v>1.5939999999999999E-2</v>
      </c>
      <c r="AO8" s="1">
        <v>1.095E-2</v>
      </c>
      <c r="AP8" s="1">
        <v>1.4069999999999999E-2</v>
      </c>
      <c r="AQ8" s="1">
        <v>1.651E-2</v>
      </c>
      <c r="AR8" s="1">
        <v>0</v>
      </c>
      <c r="AS8" s="1">
        <v>0</v>
      </c>
      <c r="AT8" s="1">
        <v>1.6789999999999999E-2</v>
      </c>
      <c r="AU8" s="1">
        <v>0</v>
      </c>
      <c r="AV8" s="1">
        <v>1.857E-2</v>
      </c>
      <c r="AW8" s="1">
        <v>1.3140000000000001E-2</v>
      </c>
      <c r="AX8" s="1">
        <v>1.5980000000000001E-2</v>
      </c>
      <c r="AY8" s="1">
        <v>1.453E-2</v>
      </c>
      <c r="AZ8" s="1">
        <v>1.6320000000000001E-2</v>
      </c>
      <c r="BA8" s="1">
        <v>1.4239999999999999E-2</v>
      </c>
      <c r="BB8" s="1">
        <v>1.306E-2</v>
      </c>
      <c r="BC8" s="1">
        <v>0</v>
      </c>
      <c r="BD8" s="1">
        <v>0</v>
      </c>
      <c r="BE8" s="1">
        <v>0</v>
      </c>
      <c r="BF8" s="1">
        <v>1.5949999999999999E-2</v>
      </c>
      <c r="BG8" s="1">
        <v>1.6899999999999998E-2</v>
      </c>
      <c r="BH8" s="1">
        <v>1.6449999999999999E-2</v>
      </c>
      <c r="BI8" s="1">
        <v>0</v>
      </c>
      <c r="BJ8" s="1">
        <v>1.685E-2</v>
      </c>
      <c r="BK8" s="1">
        <v>1.3169999999999999E-2</v>
      </c>
      <c r="BL8" s="1">
        <v>1.7479999999999999E-2</v>
      </c>
      <c r="BM8" s="1">
        <v>0</v>
      </c>
      <c r="BN8" s="1">
        <v>0</v>
      </c>
      <c r="BO8" s="1">
        <v>1.3050000000000001E-2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1.34E-2</v>
      </c>
      <c r="BV8" s="1">
        <v>1.2999999999999999E-2</v>
      </c>
      <c r="BW8" s="1">
        <v>0</v>
      </c>
      <c r="BX8" s="1">
        <v>1.302E-2</v>
      </c>
      <c r="BY8" s="1">
        <v>1.29E-2</v>
      </c>
      <c r="BZ8" s="1">
        <v>0</v>
      </c>
      <c r="CA8" s="1">
        <v>1.357E-2</v>
      </c>
      <c r="CB8" s="1">
        <v>0</v>
      </c>
      <c r="CC8" s="1">
        <v>1.289E-2</v>
      </c>
      <c r="CD8" s="1">
        <v>1.2970000000000001E-2</v>
      </c>
      <c r="CE8" s="1">
        <v>1.295E-2</v>
      </c>
      <c r="CF8" s="1">
        <v>1.337E-2</v>
      </c>
      <c r="CG8" s="1">
        <v>1.8800000000000001E-2</v>
      </c>
      <c r="CH8" s="1">
        <v>0</v>
      </c>
      <c r="CI8" s="1">
        <v>1.3169999999999999E-2</v>
      </c>
      <c r="CJ8" s="1">
        <v>1.3050000000000001E-2</v>
      </c>
      <c r="CK8" s="1">
        <v>0</v>
      </c>
      <c r="CL8" s="1">
        <v>1.3100000000000001E-2</v>
      </c>
      <c r="CM8" s="1">
        <v>0</v>
      </c>
      <c r="CN8" s="1">
        <v>1.3860000000000001E-2</v>
      </c>
      <c r="CO8" s="1">
        <v>1.8409999999999999E-2</v>
      </c>
      <c r="CP8" s="1">
        <v>1.6080000000000001E-2</v>
      </c>
      <c r="CQ8" s="1">
        <v>1.8200000000000001E-2</v>
      </c>
      <c r="CR8" s="1">
        <v>1.4290000000000001E-2</v>
      </c>
      <c r="CS8" s="1">
        <v>0</v>
      </c>
      <c r="CT8" s="1">
        <v>1.363E-2</v>
      </c>
      <c r="CU8" s="1">
        <v>1.7899999999999999E-2</v>
      </c>
      <c r="CV8" s="1">
        <v>1.617E-2</v>
      </c>
      <c r="CW8" s="1">
        <v>1.3100000000000001E-2</v>
      </c>
      <c r="CX8" s="1">
        <v>1.308E-2</v>
      </c>
      <c r="CY8" s="1">
        <v>0</v>
      </c>
      <c r="CZ8" s="1">
        <v>1.8100000000000002E-2</v>
      </c>
      <c r="DA8" s="1">
        <v>1.6799999999999999E-2</v>
      </c>
      <c r="DB8" s="1">
        <v>0</v>
      </c>
      <c r="DC8" s="1">
        <v>1.6500000000000001E-2</v>
      </c>
      <c r="DD8" s="1">
        <v>1.8100000000000002E-2</v>
      </c>
      <c r="DE8" s="1">
        <v>1.55E-2</v>
      </c>
      <c r="DF8" s="1">
        <v>1.6899999999999998E-2</v>
      </c>
      <c r="DG8" s="1">
        <v>1.38E-2</v>
      </c>
      <c r="DH8" s="1">
        <v>0</v>
      </c>
      <c r="DI8" s="1">
        <v>0</v>
      </c>
      <c r="DJ8" s="1">
        <v>1.2800000000000001E-2</v>
      </c>
      <c r="DK8" s="1">
        <v>1.3100000000000001E-2</v>
      </c>
      <c r="DL8" s="1">
        <v>1.54E-2</v>
      </c>
      <c r="DM8" s="1">
        <v>1.7899999999999999E-2</v>
      </c>
      <c r="DN8" s="1">
        <v>1.5800000000000002E-2</v>
      </c>
      <c r="DO8" s="1">
        <v>1.6299999999999999E-2</v>
      </c>
      <c r="DP8" s="1">
        <v>1.5599999999999999E-2</v>
      </c>
      <c r="DQ8" s="1">
        <v>0</v>
      </c>
      <c r="DR8" s="1">
        <v>1.35E-2</v>
      </c>
      <c r="DS8" s="1">
        <v>0</v>
      </c>
      <c r="DT8" s="1">
        <v>1.4E-2</v>
      </c>
      <c r="DU8" s="1">
        <v>1.7600000000000001E-2</v>
      </c>
      <c r="DV8" s="1">
        <v>1.5900000000000001E-2</v>
      </c>
      <c r="DW8" s="1">
        <v>1.54E-2</v>
      </c>
      <c r="DX8" s="1">
        <v>1.37E-2</v>
      </c>
      <c r="DY8" s="1">
        <v>1.3899999999999999E-2</v>
      </c>
      <c r="DZ8" s="1">
        <v>1.3299999999999999E-2</v>
      </c>
    </row>
    <row r="9" spans="1:130" x14ac:dyDescent="0.3">
      <c r="A9" s="2" t="s">
        <v>163</v>
      </c>
      <c r="B9" s="1">
        <v>1.4919999999999999E-2</v>
      </c>
      <c r="C9" s="1">
        <v>1.2699999999999999E-2</v>
      </c>
      <c r="D9" s="1">
        <v>1.042E-2</v>
      </c>
      <c r="E9" s="1">
        <v>1.2239999999999999E-2</v>
      </c>
      <c r="F9" s="1">
        <v>1.3639999999999999E-2</v>
      </c>
      <c r="G9" s="1">
        <v>1.4749999999999999E-2</v>
      </c>
      <c r="H9" s="1">
        <v>1.354E-2</v>
      </c>
      <c r="I9" s="1">
        <v>1.1860000000000001E-2</v>
      </c>
      <c r="J9" s="1">
        <v>1.057E-2</v>
      </c>
      <c r="K9" s="1">
        <v>1.3690000000000001E-2</v>
      </c>
      <c r="L9" s="1">
        <v>1.434E-2</v>
      </c>
      <c r="M9" s="1">
        <v>1.2120000000000001E-2</v>
      </c>
      <c r="N9" s="1">
        <v>1.1560000000000001E-2</v>
      </c>
      <c r="O9" s="1">
        <v>1.248E-2</v>
      </c>
      <c r="P9" s="1">
        <v>1.095E-2</v>
      </c>
      <c r="Q9" s="1">
        <v>1.2579999999999999E-2</v>
      </c>
      <c r="R9" s="1">
        <v>1.342E-2</v>
      </c>
      <c r="S9" s="1">
        <v>1.2529999999999999E-2</v>
      </c>
      <c r="T9" s="1">
        <v>1.2529999999999999E-2</v>
      </c>
      <c r="U9" s="1">
        <v>1.0619999999999999E-2</v>
      </c>
      <c r="V9" s="1">
        <v>1.031E-2</v>
      </c>
      <c r="W9" s="1">
        <v>1.21E-2</v>
      </c>
      <c r="X9" s="1">
        <v>1.0670000000000001E-2</v>
      </c>
      <c r="Y9" s="1">
        <v>1.2109999999999999E-2</v>
      </c>
      <c r="Z9" s="1">
        <v>1.2160000000000001E-2</v>
      </c>
      <c r="AA9" s="1">
        <v>1.384E-2</v>
      </c>
      <c r="AB9" s="1">
        <v>1.389E-2</v>
      </c>
      <c r="AC9" s="1">
        <v>1.3729999999999999E-2</v>
      </c>
      <c r="AD9" s="1">
        <v>1.12E-2</v>
      </c>
      <c r="AE9" s="1">
        <v>1.141E-2</v>
      </c>
      <c r="AF9" s="1">
        <v>1.2160000000000001E-2</v>
      </c>
      <c r="AG9" s="1">
        <v>1.4019999999999999E-2</v>
      </c>
      <c r="AH9" s="1">
        <v>1.434E-2</v>
      </c>
      <c r="AI9" s="1">
        <v>1.213E-2</v>
      </c>
      <c r="AJ9" s="1">
        <v>1.1599999999999999E-2</v>
      </c>
      <c r="AK9" s="1">
        <v>1.0869999999999999E-2</v>
      </c>
      <c r="AL9" s="1">
        <v>1.2189999999999999E-2</v>
      </c>
      <c r="AM9" s="1">
        <v>1.1270000000000001E-2</v>
      </c>
      <c r="AN9" s="1">
        <v>1.251E-2</v>
      </c>
      <c r="AO9" s="1">
        <v>1.0290000000000001E-2</v>
      </c>
      <c r="AP9" s="1">
        <v>1.115E-2</v>
      </c>
      <c r="AQ9" s="1">
        <v>1.2619999999999999E-2</v>
      </c>
      <c r="AR9" s="1">
        <v>1.1769999999999999E-2</v>
      </c>
      <c r="AS9" s="1">
        <v>1.183E-2</v>
      </c>
      <c r="AT9" s="1">
        <v>1.2120000000000001E-2</v>
      </c>
      <c r="AU9" s="1">
        <v>1.357E-2</v>
      </c>
      <c r="AV9" s="1">
        <v>1.436E-2</v>
      </c>
      <c r="AW9" s="1">
        <v>1.2160000000000001E-2</v>
      </c>
      <c r="AX9" s="1">
        <v>1.231E-2</v>
      </c>
      <c r="AY9" s="1">
        <v>1.111E-2</v>
      </c>
      <c r="AZ9" s="1">
        <v>1.206E-2</v>
      </c>
      <c r="BA9" s="1">
        <v>1.12E-2</v>
      </c>
      <c r="BB9" s="1">
        <v>1.074E-2</v>
      </c>
      <c r="BC9" s="1">
        <v>1.4109999999999999E-2</v>
      </c>
      <c r="BD9" s="1">
        <v>1.2630000000000001E-2</v>
      </c>
      <c r="BE9" s="1">
        <v>1.238E-2</v>
      </c>
      <c r="BF9" s="1">
        <v>1.2279999999999999E-2</v>
      </c>
      <c r="BG9" s="1">
        <v>1.2699999999999999E-2</v>
      </c>
      <c r="BH9" s="1">
        <v>1.1820000000000001E-2</v>
      </c>
      <c r="BI9" s="1">
        <v>1.1140000000000001E-2</v>
      </c>
      <c r="BJ9" s="1">
        <v>1.2630000000000001E-2</v>
      </c>
      <c r="BK9" s="1">
        <v>1.039E-2</v>
      </c>
      <c r="BL9" s="1">
        <v>1.299E-2</v>
      </c>
      <c r="BM9" s="1">
        <v>1.306E-2</v>
      </c>
      <c r="BN9" s="1">
        <v>1.0279999999999999E-2</v>
      </c>
      <c r="BO9" s="1">
        <v>1.213E-2</v>
      </c>
      <c r="BP9" s="1">
        <v>9.8600000000000007E-3</v>
      </c>
      <c r="BQ9" s="1">
        <v>1.4120000000000001E-2</v>
      </c>
      <c r="BR9" s="1">
        <v>1.082E-2</v>
      </c>
      <c r="BS9" s="1">
        <v>1.0880000000000001E-2</v>
      </c>
      <c r="BT9" s="1">
        <v>1.1270000000000001E-2</v>
      </c>
      <c r="BU9" s="1">
        <v>1.0030000000000001E-2</v>
      </c>
      <c r="BV9" s="1">
        <v>1.1900000000000001E-2</v>
      </c>
      <c r="BW9" s="1">
        <v>1.4319999999999999E-2</v>
      </c>
      <c r="BX9" s="1">
        <v>1.193E-2</v>
      </c>
      <c r="BY9" s="1">
        <v>1.057E-2</v>
      </c>
      <c r="BZ9" s="1">
        <v>0</v>
      </c>
      <c r="CA9" s="1">
        <v>1.093E-2</v>
      </c>
      <c r="CB9" s="1">
        <v>1.295E-2</v>
      </c>
      <c r="CC9" s="1">
        <v>1.146E-2</v>
      </c>
      <c r="CD9" s="1">
        <v>1.1509999999999999E-2</v>
      </c>
      <c r="CE9" s="1">
        <v>1.145E-2</v>
      </c>
      <c r="CF9" s="1">
        <v>1.0749999999999999E-2</v>
      </c>
      <c r="CG9" s="1">
        <v>1.443E-2</v>
      </c>
      <c r="CH9" s="1">
        <v>1.1220000000000001E-2</v>
      </c>
      <c r="CI9" s="1">
        <v>1.1140000000000001E-2</v>
      </c>
      <c r="CJ9" s="1">
        <v>1.175E-2</v>
      </c>
      <c r="CK9" s="1">
        <v>1.018E-2</v>
      </c>
      <c r="CL9" s="1">
        <v>1.04E-2</v>
      </c>
      <c r="CM9" s="1">
        <v>1.208E-2</v>
      </c>
      <c r="CN9" s="1">
        <v>1.023E-2</v>
      </c>
      <c r="CO9" s="1">
        <v>1.376E-2</v>
      </c>
      <c r="CP9" s="1">
        <v>1.171E-2</v>
      </c>
      <c r="CQ9" s="1">
        <v>1.257E-2</v>
      </c>
      <c r="CR9" s="1">
        <v>1.102E-2</v>
      </c>
      <c r="CS9" s="1">
        <v>1.208E-2</v>
      </c>
      <c r="CT9" s="1">
        <v>1.078E-2</v>
      </c>
      <c r="CU9" s="1">
        <v>1.2500000000000001E-2</v>
      </c>
      <c r="CV9" s="1">
        <v>1.1860000000000001E-2</v>
      </c>
      <c r="CW9" s="1">
        <v>1.0540000000000001E-2</v>
      </c>
      <c r="CX9" s="1">
        <v>1.1730000000000001E-2</v>
      </c>
      <c r="CY9" s="1">
        <v>1.2540000000000001E-2</v>
      </c>
      <c r="CZ9" s="1">
        <v>1.4200000000000001E-2</v>
      </c>
      <c r="DA9" s="1">
        <v>1.2500000000000001E-2</v>
      </c>
      <c r="DB9" s="1">
        <v>1.03E-2</v>
      </c>
      <c r="DC9" s="1">
        <v>1.23E-2</v>
      </c>
      <c r="DD9" s="1">
        <v>1.37E-2</v>
      </c>
      <c r="DE9" s="1">
        <v>1.12E-2</v>
      </c>
      <c r="DF9" s="1">
        <v>1.1599999999999999E-2</v>
      </c>
      <c r="DG9" s="1">
        <v>1.0999999999999999E-2</v>
      </c>
      <c r="DH9" s="1">
        <v>1.2E-2</v>
      </c>
      <c r="DI9" s="1">
        <v>1.2699999999999999E-2</v>
      </c>
      <c r="DJ9" s="1">
        <v>1.11E-2</v>
      </c>
      <c r="DK9" s="1">
        <v>1.21E-2</v>
      </c>
      <c r="DL9" s="1">
        <v>1.17E-2</v>
      </c>
      <c r="DM9" s="1">
        <v>1.3599999999999999E-2</v>
      </c>
      <c r="DN9" s="1">
        <v>1.0699999999999999E-2</v>
      </c>
      <c r="DO9" s="1">
        <v>1.2200000000000001E-2</v>
      </c>
      <c r="DP9" s="1">
        <v>1.09E-2</v>
      </c>
      <c r="DQ9" s="1">
        <v>1.17E-2</v>
      </c>
      <c r="DR9" s="1">
        <v>1.0999999999999999E-2</v>
      </c>
      <c r="DS9" s="1">
        <v>1.18E-2</v>
      </c>
      <c r="DT9" s="1">
        <v>1.0800000000000001E-2</v>
      </c>
      <c r="DU9" s="1">
        <v>1.2800000000000001E-2</v>
      </c>
      <c r="DV9" s="1">
        <v>1.24E-2</v>
      </c>
      <c r="DW9" s="1">
        <v>1.12E-2</v>
      </c>
      <c r="DX9" s="1">
        <v>1.09E-2</v>
      </c>
      <c r="DY9" s="1">
        <v>1.0800000000000001E-2</v>
      </c>
      <c r="DZ9" s="1">
        <v>1.0699999999999999E-2</v>
      </c>
    </row>
    <row r="10" spans="1:130" x14ac:dyDescent="0.3">
      <c r="A10" s="2" t="s">
        <v>191</v>
      </c>
      <c r="B10" s="1">
        <v>0</v>
      </c>
      <c r="C10" s="1">
        <v>0.64705999999999997</v>
      </c>
      <c r="D10" s="1">
        <v>0.52205000000000001</v>
      </c>
      <c r="E10" s="1">
        <v>0.49785000000000001</v>
      </c>
      <c r="F10" s="1">
        <v>0</v>
      </c>
      <c r="G10" s="1">
        <v>0.68413000000000002</v>
      </c>
      <c r="H10" s="1">
        <v>0.66452999999999995</v>
      </c>
      <c r="I10" s="1">
        <v>0.43424000000000001</v>
      </c>
      <c r="J10" s="1">
        <v>0.44914999999999999</v>
      </c>
      <c r="K10" s="1">
        <v>0.67859000000000003</v>
      </c>
      <c r="L10" s="1">
        <v>0</v>
      </c>
      <c r="M10" s="1">
        <v>0.52561999999999998</v>
      </c>
      <c r="N10" s="1">
        <v>0.55696999999999997</v>
      </c>
      <c r="O10" s="1">
        <v>0</v>
      </c>
      <c r="P10" s="1">
        <v>0.58228000000000002</v>
      </c>
      <c r="Q10" s="1">
        <v>0</v>
      </c>
      <c r="R10" s="1">
        <v>0</v>
      </c>
      <c r="S10" s="1">
        <v>0</v>
      </c>
      <c r="T10" s="1">
        <v>0.46765000000000001</v>
      </c>
      <c r="U10" s="1">
        <v>0.46778999999999998</v>
      </c>
      <c r="V10" s="1">
        <v>0.58152000000000004</v>
      </c>
      <c r="W10" s="1">
        <v>0.50236999999999998</v>
      </c>
      <c r="X10" s="1">
        <v>0.61126999999999998</v>
      </c>
      <c r="Y10" s="1">
        <v>0</v>
      </c>
      <c r="Z10" s="1">
        <v>0.60370000000000001</v>
      </c>
      <c r="AA10" s="1">
        <v>0.62624999999999997</v>
      </c>
      <c r="AB10" s="1">
        <v>0.61572000000000005</v>
      </c>
      <c r="AC10" s="1">
        <v>0.68352000000000002</v>
      </c>
      <c r="AD10" s="1">
        <v>0.59521999999999997</v>
      </c>
      <c r="AE10" s="1">
        <v>0.48338999999999999</v>
      </c>
      <c r="AF10" s="1">
        <v>0</v>
      </c>
      <c r="AG10" s="1">
        <v>0</v>
      </c>
      <c r="AH10" s="1">
        <v>0</v>
      </c>
      <c r="AI10" s="1">
        <v>0</v>
      </c>
      <c r="AJ10" s="1">
        <v>0.58903000000000005</v>
      </c>
      <c r="AK10" s="1">
        <v>0.58772999999999997</v>
      </c>
      <c r="AL10" s="1">
        <v>0.49541000000000002</v>
      </c>
      <c r="AM10" s="1">
        <v>0.62095</v>
      </c>
      <c r="AN10" s="1">
        <v>0</v>
      </c>
      <c r="AO10" s="1">
        <v>0.49901000000000001</v>
      </c>
      <c r="AP10" s="1">
        <v>0.62460000000000004</v>
      </c>
      <c r="AQ10" s="1">
        <v>0.59565999999999997</v>
      </c>
      <c r="AR10" s="1">
        <v>0.67642000000000002</v>
      </c>
      <c r="AS10" s="1">
        <v>0.64612999999999998</v>
      </c>
      <c r="AT10" s="1">
        <v>0.60524</v>
      </c>
      <c r="AU10" s="1">
        <v>0</v>
      </c>
      <c r="AV10" s="1">
        <v>0</v>
      </c>
      <c r="AW10" s="1">
        <v>0</v>
      </c>
      <c r="AX10" s="1">
        <v>0</v>
      </c>
      <c r="AY10" s="1">
        <v>0.5877</v>
      </c>
      <c r="AZ10" s="1">
        <v>0</v>
      </c>
      <c r="BA10" s="1">
        <v>0.54878000000000005</v>
      </c>
      <c r="BB10" s="1">
        <v>0</v>
      </c>
      <c r="BC10" s="1">
        <v>0.66798000000000002</v>
      </c>
      <c r="BD10" s="1">
        <v>0.67595000000000005</v>
      </c>
      <c r="BE10" s="1">
        <v>0.57235000000000003</v>
      </c>
      <c r="BF10" s="1">
        <v>0</v>
      </c>
      <c r="BG10" s="1">
        <v>0.59492</v>
      </c>
      <c r="BH10" s="1">
        <v>0</v>
      </c>
      <c r="BI10" s="1">
        <v>0.57679000000000002</v>
      </c>
      <c r="BJ10" s="1">
        <v>0.69750000000000001</v>
      </c>
      <c r="BK10" s="1">
        <v>0.51037999999999994</v>
      </c>
      <c r="BL10" s="1">
        <v>0</v>
      </c>
      <c r="BM10" s="1" t="s">
        <v>160</v>
      </c>
      <c r="BN10" s="1">
        <v>0.47621000000000002</v>
      </c>
      <c r="BO10" s="1">
        <v>0.48635</v>
      </c>
      <c r="BP10" s="1">
        <v>0.52581</v>
      </c>
      <c r="BQ10" s="1">
        <v>0</v>
      </c>
      <c r="BR10" s="1">
        <v>0</v>
      </c>
      <c r="BS10" s="1">
        <v>0.62248000000000003</v>
      </c>
      <c r="BT10" s="1">
        <v>0</v>
      </c>
      <c r="BU10" s="1">
        <v>0.45788000000000001</v>
      </c>
      <c r="BV10" s="1">
        <v>0.54913999999999996</v>
      </c>
      <c r="BW10" s="1">
        <v>0</v>
      </c>
      <c r="BX10" s="1">
        <v>0.56157000000000001</v>
      </c>
      <c r="BY10" s="1">
        <v>0.52961000000000003</v>
      </c>
      <c r="BZ10" s="1">
        <v>0</v>
      </c>
      <c r="CA10" s="1">
        <v>0.59926000000000001</v>
      </c>
      <c r="CB10" s="1">
        <v>0</v>
      </c>
      <c r="CC10" s="1">
        <v>0.59445999999999999</v>
      </c>
      <c r="CD10" s="1">
        <v>0.52364999999999995</v>
      </c>
      <c r="CE10" s="1">
        <v>0.54242999999999997</v>
      </c>
      <c r="CF10" s="1">
        <v>0.59367000000000003</v>
      </c>
      <c r="CG10" s="1">
        <v>0.64995000000000003</v>
      </c>
      <c r="CH10" s="1">
        <v>0</v>
      </c>
      <c r="CI10" s="1">
        <v>0.50946999999999998</v>
      </c>
      <c r="CJ10" s="1">
        <v>0.51502999999999999</v>
      </c>
      <c r="CK10" s="1">
        <v>0.51915999999999995</v>
      </c>
      <c r="CL10" s="1">
        <v>0.52959999999999996</v>
      </c>
      <c r="CM10" s="1">
        <v>0</v>
      </c>
      <c r="CN10" s="1">
        <v>0.57737000000000005</v>
      </c>
      <c r="CO10" s="1">
        <v>0.63522000000000001</v>
      </c>
      <c r="CP10" s="1">
        <v>0.53171000000000002</v>
      </c>
      <c r="CQ10" s="1">
        <v>0</v>
      </c>
      <c r="CR10" s="1">
        <v>0.59741999999999995</v>
      </c>
      <c r="CS10" s="1">
        <v>0.53790000000000004</v>
      </c>
      <c r="CT10" s="1">
        <v>0.52705999999999997</v>
      </c>
      <c r="CU10" s="1">
        <v>0.61585000000000001</v>
      </c>
      <c r="CV10" s="1">
        <v>0.57672999999999996</v>
      </c>
      <c r="CW10" s="1">
        <v>0.48699999999999999</v>
      </c>
      <c r="CX10" s="1">
        <v>0.52763000000000004</v>
      </c>
      <c r="CY10" s="1">
        <v>0.45276</v>
      </c>
      <c r="CZ10" s="1">
        <v>0</v>
      </c>
      <c r="DA10" s="1">
        <v>0</v>
      </c>
      <c r="DB10" s="1">
        <v>0.54020000000000001</v>
      </c>
      <c r="DC10" s="1">
        <v>0</v>
      </c>
      <c r="DD10" s="1">
        <v>0</v>
      </c>
      <c r="DE10" s="1">
        <v>0.61199999999999999</v>
      </c>
      <c r="DF10" s="1">
        <v>0</v>
      </c>
      <c r="DG10" s="1">
        <v>0.52459999999999996</v>
      </c>
      <c r="DH10" s="1">
        <v>0.51770000000000005</v>
      </c>
      <c r="DI10" s="1">
        <v>0.46970000000000001</v>
      </c>
      <c r="DJ10" s="1">
        <v>0.62219999999999998</v>
      </c>
      <c r="DK10" s="1">
        <v>0.51690000000000003</v>
      </c>
      <c r="DL10" s="1">
        <v>0</v>
      </c>
      <c r="DM10" s="1">
        <v>0</v>
      </c>
      <c r="DN10" s="1">
        <v>0.56359999999999999</v>
      </c>
      <c r="DO10" s="1">
        <v>0</v>
      </c>
      <c r="DP10" s="1">
        <v>0.57050000000000001</v>
      </c>
      <c r="DQ10" s="1">
        <v>0</v>
      </c>
      <c r="DR10" s="1">
        <v>0.5887</v>
      </c>
      <c r="DS10" s="1">
        <v>0.63290000000000002</v>
      </c>
      <c r="DT10" s="1">
        <v>0.58360000000000001</v>
      </c>
      <c r="DU10" s="1">
        <v>0</v>
      </c>
      <c r="DV10" s="1">
        <v>0</v>
      </c>
      <c r="DW10" s="1">
        <v>0.56069999999999998</v>
      </c>
      <c r="DX10" s="1">
        <v>0.56200000000000006</v>
      </c>
      <c r="DY10" s="1">
        <v>0.54720000000000002</v>
      </c>
      <c r="DZ10" s="1">
        <v>0.55710000000000004</v>
      </c>
    </row>
    <row r="11" spans="1:130" x14ac:dyDescent="0.3">
      <c r="A11" s="2" t="s">
        <v>164</v>
      </c>
      <c r="B11" s="1">
        <v>8.4099999999999994E-2</v>
      </c>
      <c r="C11" s="1">
        <v>8.6360000000000006E-2</v>
      </c>
      <c r="D11" s="1">
        <v>6.3789999999999999E-2</v>
      </c>
      <c r="E11" s="1">
        <v>0</v>
      </c>
      <c r="F11" s="1">
        <v>8.8239999999999999E-2</v>
      </c>
      <c r="G11" s="1">
        <v>8.4580000000000002E-2</v>
      </c>
      <c r="H11" s="1">
        <v>8.0079999999999998E-2</v>
      </c>
      <c r="I11" s="1">
        <v>6.744E-2</v>
      </c>
      <c r="J11" s="1">
        <v>7.6350000000000001E-2</v>
      </c>
      <c r="K11" s="1">
        <v>8.0060000000000006E-2</v>
      </c>
      <c r="L11" s="1">
        <v>8.7330000000000005E-2</v>
      </c>
      <c r="M11" s="1">
        <v>6.8640000000000007E-2</v>
      </c>
      <c r="N11" s="1">
        <v>8.0689999999999998E-2</v>
      </c>
      <c r="O11" s="1">
        <v>6.2670000000000003E-2</v>
      </c>
      <c r="P11" s="1">
        <v>7.3459999999999998E-2</v>
      </c>
      <c r="Q11" s="1">
        <v>6.6259999999999999E-2</v>
      </c>
      <c r="R11" s="1">
        <v>7.1870000000000003E-2</v>
      </c>
      <c r="S11" s="1">
        <v>0</v>
      </c>
      <c r="T11" s="1">
        <v>0</v>
      </c>
      <c r="U11" s="1">
        <v>7.177E-2</v>
      </c>
      <c r="V11" s="1">
        <v>7.6280000000000001E-2</v>
      </c>
      <c r="W11" s="1">
        <v>6.9650000000000004E-2</v>
      </c>
      <c r="X11" s="1">
        <v>8.0240000000000006E-2</v>
      </c>
      <c r="Y11" s="1">
        <v>6.9400000000000003E-2</v>
      </c>
      <c r="Z11" s="1">
        <v>7.4560000000000001E-2</v>
      </c>
      <c r="AA11" s="1">
        <v>8.6440000000000003E-2</v>
      </c>
      <c r="AB11" s="1">
        <v>8.863E-2</v>
      </c>
      <c r="AC11" s="1">
        <v>7.85E-2</v>
      </c>
      <c r="AD11" s="1">
        <v>8.0379999999999993E-2</v>
      </c>
      <c r="AE11" s="1">
        <v>6.2770000000000006E-2</v>
      </c>
      <c r="AF11" s="1">
        <v>6.5189999999999998E-2</v>
      </c>
      <c r="AG11" s="1">
        <v>7.8189999999999996E-2</v>
      </c>
      <c r="AH11" s="1">
        <v>8.8599999999999998E-2</v>
      </c>
      <c r="AI11" s="1">
        <v>7.059E-2</v>
      </c>
      <c r="AJ11" s="1">
        <v>7.6740000000000003E-2</v>
      </c>
      <c r="AK11" s="1">
        <v>6.8029999999999993E-2</v>
      </c>
      <c r="AL11" s="1" t="s">
        <v>160</v>
      </c>
      <c r="AM11" s="1">
        <v>7.8619999999999995E-2</v>
      </c>
      <c r="AN11" s="1">
        <v>0</v>
      </c>
      <c r="AO11" s="1">
        <v>6.071E-2</v>
      </c>
      <c r="AP11" s="1">
        <v>8.6790000000000006E-2</v>
      </c>
      <c r="AQ11" s="1">
        <v>0</v>
      </c>
      <c r="AR11" s="1">
        <v>8.2379999999999995E-2</v>
      </c>
      <c r="AS11" s="1">
        <v>8.2339999999999997E-2</v>
      </c>
      <c r="AT11" s="1">
        <v>8.1720000000000001E-2</v>
      </c>
      <c r="AU11" s="1">
        <v>0</v>
      </c>
      <c r="AV11" s="1">
        <v>0</v>
      </c>
      <c r="AW11" s="1">
        <v>6.7339999999999997E-2</v>
      </c>
      <c r="AX11" s="1">
        <v>0</v>
      </c>
      <c r="AY11" s="1">
        <v>7.8369999999999995E-2</v>
      </c>
      <c r="AZ11" s="1">
        <v>7.8229999999999994E-2</v>
      </c>
      <c r="BA11" s="1">
        <v>8.0100000000000005E-2</v>
      </c>
      <c r="BB11" s="1">
        <v>7.5929999999999997E-2</v>
      </c>
      <c r="BC11" s="1">
        <v>8.9709999999999998E-2</v>
      </c>
      <c r="BD11" s="1">
        <v>9.4500000000000001E-2</v>
      </c>
      <c r="BE11" s="1">
        <v>8.9550000000000005E-2</v>
      </c>
      <c r="BF11" s="1">
        <v>7.8539999999999999E-2</v>
      </c>
      <c r="BG11" s="1">
        <v>8.1699999999999995E-2</v>
      </c>
      <c r="BH11" s="1">
        <v>8.1089999999999995E-2</v>
      </c>
      <c r="BI11" s="1">
        <v>0</v>
      </c>
      <c r="BJ11" s="1">
        <v>8.5569999999999993E-2</v>
      </c>
      <c r="BK11" s="1">
        <v>8.1189999999999998E-2</v>
      </c>
      <c r="BL11" s="1">
        <v>8.3180000000000004E-2</v>
      </c>
      <c r="BM11" s="1">
        <v>8.9270000000000002E-2</v>
      </c>
      <c r="BN11" s="1">
        <v>7.1429999999999993E-2</v>
      </c>
      <c r="BO11" s="1">
        <v>6.583E-2</v>
      </c>
      <c r="BP11" s="1">
        <v>7.0499999999999993E-2</v>
      </c>
      <c r="BQ11" s="1">
        <v>7.739E-2</v>
      </c>
      <c r="BR11" s="1">
        <v>7.4230000000000004E-2</v>
      </c>
      <c r="BS11" s="1">
        <v>0</v>
      </c>
      <c r="BT11" s="1">
        <v>6.9559999999999997E-2</v>
      </c>
      <c r="BU11" s="1">
        <v>7.2040000000000007E-2</v>
      </c>
      <c r="BV11" s="1">
        <v>8.1610000000000002E-2</v>
      </c>
      <c r="BW11" s="1">
        <v>7.6480000000000006E-2</v>
      </c>
      <c r="BX11" s="1">
        <v>7.6799999999999993E-2</v>
      </c>
      <c r="BY11" s="1">
        <v>6.7339999999999997E-2</v>
      </c>
      <c r="BZ11" s="1">
        <v>6.5850000000000006E-2</v>
      </c>
      <c r="CA11" s="1">
        <v>6.9849999999999995E-2</v>
      </c>
      <c r="CB11" s="1">
        <v>0</v>
      </c>
      <c r="CC11" s="1">
        <v>5.9360000000000003E-2</v>
      </c>
      <c r="CD11" s="1">
        <v>7.4929999999999997E-2</v>
      </c>
      <c r="CE11" s="1">
        <v>6.9430000000000006E-2</v>
      </c>
      <c r="CF11" s="1">
        <v>6.6400000000000001E-2</v>
      </c>
      <c r="CG11" s="1">
        <v>8.6599999999999996E-2</v>
      </c>
      <c r="CH11" s="1">
        <v>0</v>
      </c>
      <c r="CI11" s="1">
        <v>7.4039999999999995E-2</v>
      </c>
      <c r="CJ11" s="1">
        <v>6.7030000000000006E-2</v>
      </c>
      <c r="CK11" s="1">
        <v>7.1559999999999999E-2</v>
      </c>
      <c r="CL11" s="1">
        <v>6.3460000000000003E-2</v>
      </c>
      <c r="CM11" s="1">
        <v>6.2770000000000006E-2</v>
      </c>
      <c r="CN11" s="1">
        <v>7.2440000000000004E-2</v>
      </c>
      <c r="CO11" s="1">
        <v>0</v>
      </c>
      <c r="CP11" s="1">
        <v>0</v>
      </c>
      <c r="CQ11" s="1">
        <v>7.7549999999999994E-2</v>
      </c>
      <c r="CR11" s="1">
        <v>7.0019999999999999E-2</v>
      </c>
      <c r="CS11" s="1">
        <v>0</v>
      </c>
      <c r="CT11" s="1">
        <v>7.5550000000000006E-2</v>
      </c>
      <c r="CU11" s="1">
        <v>8.9200000000000002E-2</v>
      </c>
      <c r="CV11" s="1">
        <v>0</v>
      </c>
      <c r="CW11" s="1">
        <v>7.467E-2</v>
      </c>
      <c r="CX11" s="1">
        <v>7.8549999999999995E-2</v>
      </c>
      <c r="CY11" s="1">
        <v>0</v>
      </c>
      <c r="CZ11" s="1">
        <v>8.3099999999999993E-2</v>
      </c>
      <c r="DA11" s="1">
        <v>7.6899999999999996E-2</v>
      </c>
      <c r="DB11" s="1">
        <v>7.1199999999999999E-2</v>
      </c>
      <c r="DC11" s="1">
        <v>7.4700000000000003E-2</v>
      </c>
      <c r="DD11" s="1">
        <v>7.7899999999999997E-2</v>
      </c>
      <c r="DE11" s="1">
        <v>7.4899999999999994E-2</v>
      </c>
      <c r="DF11" s="1">
        <v>7.5399999999999995E-2</v>
      </c>
      <c r="DG11" s="1">
        <v>6.8900000000000003E-2</v>
      </c>
      <c r="DH11" s="1">
        <v>6.8699999999999997E-2</v>
      </c>
      <c r="DI11" s="1">
        <v>0</v>
      </c>
      <c r="DJ11" s="1">
        <v>7.0699999999999999E-2</v>
      </c>
      <c r="DK11" s="1">
        <v>0</v>
      </c>
      <c r="DL11" s="1">
        <v>7.3099999999999998E-2</v>
      </c>
      <c r="DM11" s="1">
        <v>8.0600000000000005E-2</v>
      </c>
      <c r="DN11" s="1">
        <v>7.3300000000000004E-2</v>
      </c>
      <c r="DO11" s="1">
        <v>0</v>
      </c>
      <c r="DP11" s="1">
        <v>8.1299999999999997E-2</v>
      </c>
      <c r="DQ11" s="1">
        <v>7.2099999999999997E-2</v>
      </c>
      <c r="DR11" s="1">
        <v>7.3400000000000007E-2</v>
      </c>
      <c r="DS11" s="1">
        <v>8.8099999999999998E-2</v>
      </c>
      <c r="DT11" s="1">
        <v>6.9199999999999998E-2</v>
      </c>
      <c r="DU11" s="1">
        <v>8.9399999999999993E-2</v>
      </c>
      <c r="DV11" s="1">
        <v>7.4399999999999994E-2</v>
      </c>
      <c r="DW11" s="1">
        <v>7.8E-2</v>
      </c>
      <c r="DX11" s="1">
        <v>6.8699999999999997E-2</v>
      </c>
      <c r="DY11" s="1">
        <v>7.0400000000000004E-2</v>
      </c>
      <c r="DZ11" s="1">
        <v>6.4899999999999999E-2</v>
      </c>
    </row>
    <row r="12" spans="1:130" x14ac:dyDescent="0.3">
      <c r="A12" s="2" t="s">
        <v>188</v>
      </c>
      <c r="B12" s="1">
        <v>0</v>
      </c>
      <c r="C12" s="1">
        <v>1.461E-2</v>
      </c>
      <c r="D12" s="1">
        <v>1.5429999999999999E-2</v>
      </c>
      <c r="E12" s="1">
        <v>1.0200000000000001E-2</v>
      </c>
      <c r="F12" s="1">
        <v>0</v>
      </c>
      <c r="G12" s="1">
        <v>1.6160000000000001E-2</v>
      </c>
      <c r="H12" s="1">
        <v>1.6639999999999999E-2</v>
      </c>
      <c r="I12" s="1">
        <v>0</v>
      </c>
      <c r="J12" s="1">
        <v>1.431E-2</v>
      </c>
      <c r="K12" s="1">
        <v>1.8579999999999999E-2</v>
      </c>
      <c r="L12" s="1">
        <v>1.7899999999999999E-2</v>
      </c>
      <c r="M12" s="1">
        <v>1.042E-2</v>
      </c>
      <c r="N12" s="1">
        <v>1.44E-2</v>
      </c>
      <c r="O12" s="1">
        <v>0</v>
      </c>
      <c r="P12" s="1">
        <v>1.503E-2</v>
      </c>
      <c r="Q12" s="1">
        <v>1.5900000000000001E-2</v>
      </c>
      <c r="R12" s="1">
        <v>1.602E-2</v>
      </c>
      <c r="S12" s="1">
        <v>1.235E-2</v>
      </c>
      <c r="T12" s="1">
        <v>0</v>
      </c>
      <c r="U12" s="1">
        <v>1.5959999999999998E-2</v>
      </c>
      <c r="V12" s="1">
        <v>1.4749999999999999E-2</v>
      </c>
      <c r="W12" s="1">
        <v>9.7699999999999992E-3</v>
      </c>
      <c r="X12" s="1">
        <v>1.375E-2</v>
      </c>
      <c r="Y12" s="1">
        <v>1.525E-2</v>
      </c>
      <c r="Z12" s="1">
        <v>1.15E-2</v>
      </c>
      <c r="AA12" s="1">
        <v>1.7579999999999998E-2</v>
      </c>
      <c r="AB12" s="1">
        <v>0</v>
      </c>
      <c r="AC12" s="1">
        <v>1.5810000000000001E-2</v>
      </c>
      <c r="AD12" s="1">
        <v>1.536E-2</v>
      </c>
      <c r="AE12" s="1">
        <v>1.652E-2</v>
      </c>
      <c r="AF12" s="1">
        <v>1.091E-2</v>
      </c>
      <c r="AG12" s="1">
        <v>0</v>
      </c>
      <c r="AH12" s="1">
        <v>1.6969999999999999E-2</v>
      </c>
      <c r="AI12" s="1">
        <v>1.495E-2</v>
      </c>
      <c r="AJ12" s="1">
        <v>1.3050000000000001E-2</v>
      </c>
      <c r="AK12" s="1">
        <v>1.422E-2</v>
      </c>
      <c r="AL12" s="1">
        <v>1.0319999999999999E-2</v>
      </c>
      <c r="AM12" s="1">
        <v>1.257E-2</v>
      </c>
      <c r="AN12" s="1">
        <v>1.5789999999999998E-2</v>
      </c>
      <c r="AO12" s="1">
        <v>1.055E-2</v>
      </c>
      <c r="AP12" s="1">
        <v>1.295E-2</v>
      </c>
      <c r="AQ12" s="1">
        <v>1.554E-2</v>
      </c>
      <c r="AR12" s="1">
        <v>1.316E-2</v>
      </c>
      <c r="AS12" s="1">
        <v>1.315E-2</v>
      </c>
      <c r="AT12" s="1">
        <v>1.3480000000000001E-2</v>
      </c>
      <c r="AU12" s="1">
        <v>0</v>
      </c>
      <c r="AV12" s="1">
        <v>0</v>
      </c>
      <c r="AW12" s="1">
        <v>1.069E-2</v>
      </c>
      <c r="AX12" s="1">
        <v>1.6299999999999999E-2</v>
      </c>
      <c r="AY12" s="1">
        <v>1.274E-2</v>
      </c>
      <c r="AZ12" s="1">
        <v>1.5389999999999999E-2</v>
      </c>
      <c r="BA12" s="1">
        <v>1.278E-2</v>
      </c>
      <c r="BB12" s="1">
        <v>0</v>
      </c>
      <c r="BC12" s="1">
        <v>1.7409999999999998E-2</v>
      </c>
      <c r="BD12" s="1">
        <v>1.4970000000000001E-2</v>
      </c>
      <c r="BE12" s="1">
        <v>1.337E-2</v>
      </c>
      <c r="BF12" s="1">
        <v>1.5140000000000001E-2</v>
      </c>
      <c r="BG12" s="1">
        <v>1.4880000000000001E-2</v>
      </c>
      <c r="BH12" s="1">
        <v>1.5480000000000001E-2</v>
      </c>
      <c r="BI12" s="1">
        <v>0</v>
      </c>
      <c r="BJ12" s="1">
        <v>1.536E-2</v>
      </c>
      <c r="BK12" s="1">
        <v>1.4840000000000001E-2</v>
      </c>
      <c r="BL12" s="1">
        <v>1.4290000000000001E-2</v>
      </c>
      <c r="BM12" s="1">
        <v>1.349E-2</v>
      </c>
      <c r="BN12" s="1">
        <v>1.256E-2</v>
      </c>
      <c r="BO12" s="1">
        <v>1.618E-2</v>
      </c>
      <c r="BP12" s="1">
        <v>0</v>
      </c>
      <c r="BQ12" s="1">
        <v>1.746E-2</v>
      </c>
      <c r="BR12" s="1">
        <v>1.1849999999999999E-2</v>
      </c>
      <c r="BS12" s="1">
        <v>1.2030000000000001E-2</v>
      </c>
      <c r="BT12" s="1">
        <v>1.736E-2</v>
      </c>
      <c r="BU12" s="1">
        <v>1.482E-2</v>
      </c>
      <c r="BV12" s="1">
        <v>1.546E-2</v>
      </c>
      <c r="BW12" s="1">
        <v>1.7299999999999999E-2</v>
      </c>
      <c r="BX12" s="1">
        <v>1.602E-2</v>
      </c>
      <c r="BY12" s="1">
        <v>1.54E-2</v>
      </c>
      <c r="BZ12" s="1">
        <v>0</v>
      </c>
      <c r="CA12" s="1">
        <v>1.566E-2</v>
      </c>
      <c r="CB12" s="1">
        <v>1.4149999999999999E-2</v>
      </c>
      <c r="CC12" s="1">
        <v>1.528E-2</v>
      </c>
      <c r="CD12" s="1">
        <v>1.5879999999999998E-2</v>
      </c>
      <c r="CE12" s="1">
        <v>1.585E-2</v>
      </c>
      <c r="CF12" s="1">
        <v>1.538E-2</v>
      </c>
      <c r="CG12" s="1">
        <v>1.8489999999999999E-2</v>
      </c>
      <c r="CH12" s="1">
        <v>0</v>
      </c>
      <c r="CI12" s="1">
        <v>1.5640000000000001E-2</v>
      </c>
      <c r="CJ12" s="1">
        <v>1.519E-2</v>
      </c>
      <c r="CK12" s="1">
        <v>0</v>
      </c>
      <c r="CL12" s="1">
        <v>1.542E-2</v>
      </c>
      <c r="CM12" s="1">
        <v>1.086E-2</v>
      </c>
      <c r="CN12" s="1">
        <v>1.4999999999999999E-2</v>
      </c>
      <c r="CO12" s="1">
        <v>1.54E-2</v>
      </c>
      <c r="CP12" s="1">
        <v>1.3899999999999999E-2</v>
      </c>
      <c r="CQ12" s="1">
        <v>1.6330000000000001E-2</v>
      </c>
      <c r="CR12" s="1">
        <v>1.341E-2</v>
      </c>
      <c r="CS12" s="1">
        <v>0</v>
      </c>
      <c r="CT12" s="1">
        <v>1.5730000000000001E-2</v>
      </c>
      <c r="CU12" s="1">
        <v>1.4160000000000001E-2</v>
      </c>
      <c r="CV12" s="1">
        <v>1.3610000000000001E-2</v>
      </c>
      <c r="CW12" s="1">
        <v>1.5350000000000001E-2</v>
      </c>
      <c r="CX12" s="1">
        <v>1.5980000000000001E-2</v>
      </c>
      <c r="CY12" s="1">
        <v>0</v>
      </c>
      <c r="CZ12" s="1">
        <v>1.5800000000000002E-2</v>
      </c>
      <c r="DA12" s="1">
        <v>1.34E-2</v>
      </c>
      <c r="DB12" s="1">
        <v>0</v>
      </c>
      <c r="DC12" s="1">
        <v>1.35E-2</v>
      </c>
      <c r="DD12" s="1">
        <v>1.5699999999999999E-2</v>
      </c>
      <c r="DE12" s="1">
        <v>1.3599999999999999E-2</v>
      </c>
      <c r="DF12" s="1">
        <v>1.44E-2</v>
      </c>
      <c r="DG12" s="1">
        <v>1.4999999999999999E-2</v>
      </c>
      <c r="DH12" s="1">
        <v>0</v>
      </c>
      <c r="DI12" s="1">
        <v>1.15E-2</v>
      </c>
      <c r="DJ12" s="1">
        <v>1.55E-2</v>
      </c>
      <c r="DK12" s="1">
        <v>1.0999999999999999E-2</v>
      </c>
      <c r="DL12" s="1">
        <v>1.43E-2</v>
      </c>
      <c r="DM12" s="1">
        <v>1.5299999999999999E-2</v>
      </c>
      <c r="DN12" s="1">
        <v>1.2800000000000001E-2</v>
      </c>
      <c r="DO12" s="1">
        <v>1.18E-2</v>
      </c>
      <c r="DP12" s="1">
        <v>1.38E-2</v>
      </c>
      <c r="DQ12" s="1">
        <v>1.09E-2</v>
      </c>
      <c r="DR12" s="1">
        <v>1.5100000000000001E-2</v>
      </c>
      <c r="DS12" s="1">
        <v>1.4999999999999999E-2</v>
      </c>
      <c r="DT12" s="1">
        <v>1.49E-2</v>
      </c>
      <c r="DU12" s="1">
        <v>1.4800000000000001E-2</v>
      </c>
      <c r="DV12" s="1">
        <v>1.2200000000000001E-2</v>
      </c>
      <c r="DW12" s="1">
        <v>1.4800000000000001E-2</v>
      </c>
      <c r="DX12" s="1">
        <v>1.4E-2</v>
      </c>
      <c r="DY12" s="1">
        <v>1.61E-2</v>
      </c>
      <c r="DZ12" s="1">
        <v>1.6500000000000001E-2</v>
      </c>
    </row>
    <row r="13" spans="1:130" x14ac:dyDescent="0.3">
      <c r="A13" s="2" t="s">
        <v>165</v>
      </c>
      <c r="B13" s="1">
        <v>1.44E-2</v>
      </c>
      <c r="C13" s="1">
        <v>1.337E-2</v>
      </c>
      <c r="D13" s="1">
        <v>1.277E-2</v>
      </c>
      <c r="E13" s="1">
        <v>9.75E-3</v>
      </c>
      <c r="F13" s="1">
        <v>1.4069999999999999E-2</v>
      </c>
      <c r="G13" s="1">
        <v>1.431E-2</v>
      </c>
      <c r="H13" s="1">
        <v>1.311E-2</v>
      </c>
      <c r="I13" s="1">
        <v>0</v>
      </c>
      <c r="J13" s="1">
        <v>1.269E-2</v>
      </c>
      <c r="K13" s="1">
        <v>1.269E-2</v>
      </c>
      <c r="L13" s="1">
        <v>1.367E-2</v>
      </c>
      <c r="M13" s="1">
        <v>1.023E-2</v>
      </c>
      <c r="N13" s="1">
        <v>1.2749999999999999E-2</v>
      </c>
      <c r="O13" s="1">
        <v>1.03E-2</v>
      </c>
      <c r="P13" s="1">
        <v>1.2930000000000001E-2</v>
      </c>
      <c r="Q13" s="1">
        <v>1.4E-2</v>
      </c>
      <c r="R13" s="1">
        <v>1.2880000000000001E-2</v>
      </c>
      <c r="S13" s="1">
        <v>1.2319999999999999E-2</v>
      </c>
      <c r="T13" s="1">
        <v>1.01E-2</v>
      </c>
      <c r="U13" s="1">
        <v>1.1129999999999999E-2</v>
      </c>
      <c r="V13" s="1">
        <v>1.2699999999999999E-2</v>
      </c>
      <c r="W13" s="1">
        <v>0</v>
      </c>
      <c r="X13" s="1">
        <v>1.294E-2</v>
      </c>
      <c r="Y13" s="1">
        <v>1.421E-2</v>
      </c>
      <c r="Z13" s="1">
        <v>1.1900000000000001E-2</v>
      </c>
      <c r="AA13" s="1">
        <v>1.274E-2</v>
      </c>
      <c r="AB13" s="1">
        <v>1.4290000000000001E-2</v>
      </c>
      <c r="AC13" s="1">
        <v>1.325E-2</v>
      </c>
      <c r="AD13" s="1">
        <v>1.259E-2</v>
      </c>
      <c r="AE13" s="1">
        <v>1.1039999999999999E-2</v>
      </c>
      <c r="AF13" s="1">
        <v>0</v>
      </c>
      <c r="AG13" s="1">
        <v>1.414E-2</v>
      </c>
      <c r="AH13" s="1">
        <v>1.328E-2</v>
      </c>
      <c r="AI13" s="1">
        <v>1.346E-2</v>
      </c>
      <c r="AJ13" s="1">
        <v>1.259E-2</v>
      </c>
      <c r="AK13" s="1">
        <v>1.12E-2</v>
      </c>
      <c r="AL13" s="1">
        <v>1.055E-2</v>
      </c>
      <c r="AM13" s="1">
        <v>1.24E-2</v>
      </c>
      <c r="AN13" s="1">
        <v>1.413E-2</v>
      </c>
      <c r="AO13" s="1">
        <v>9.3799999999999994E-3</v>
      </c>
      <c r="AP13" s="1">
        <v>1.2710000000000001E-2</v>
      </c>
      <c r="AQ13" s="1">
        <v>1.392E-2</v>
      </c>
      <c r="AR13" s="1">
        <v>1.5180000000000001E-2</v>
      </c>
      <c r="AS13" s="1">
        <v>1.576E-2</v>
      </c>
      <c r="AT13" s="1">
        <v>1.4999999999999999E-2</v>
      </c>
      <c r="AU13" s="1">
        <v>1.609E-2</v>
      </c>
      <c r="AV13" s="1">
        <v>1.5910000000000001E-2</v>
      </c>
      <c r="AW13" s="1">
        <v>1.112E-2</v>
      </c>
      <c r="AX13" s="1">
        <v>1.3860000000000001E-2</v>
      </c>
      <c r="AY13" s="1">
        <v>1.2710000000000001E-2</v>
      </c>
      <c r="AZ13" s="1">
        <v>1.4069999999999999E-2</v>
      </c>
      <c r="BA13" s="1">
        <v>1.259E-2</v>
      </c>
      <c r="BB13" s="1">
        <v>1.4160000000000001E-2</v>
      </c>
      <c r="BC13" s="1">
        <v>1.312E-2</v>
      </c>
      <c r="BD13" s="1">
        <v>1.533E-2</v>
      </c>
      <c r="BE13" s="1">
        <v>1.4789999999999999E-2</v>
      </c>
      <c r="BF13" s="1">
        <v>1.434E-2</v>
      </c>
      <c r="BG13" s="1">
        <v>1.3950000000000001E-2</v>
      </c>
      <c r="BH13" s="1">
        <v>1.4449999999999999E-2</v>
      </c>
      <c r="BI13" s="1">
        <v>1.7590000000000001E-2</v>
      </c>
      <c r="BJ13" s="1">
        <v>1.461E-2</v>
      </c>
      <c r="BK13" s="1">
        <v>1.1220000000000001E-2</v>
      </c>
      <c r="BL13" s="1">
        <v>1.5949999999999999E-2</v>
      </c>
      <c r="BM13" s="1">
        <v>1.5169999999999999E-2</v>
      </c>
      <c r="BN13" s="1">
        <v>1.319E-2</v>
      </c>
      <c r="BO13" s="1">
        <v>1.0290000000000001E-2</v>
      </c>
      <c r="BP13" s="1">
        <v>1.618E-2</v>
      </c>
      <c r="BQ13" s="1">
        <v>1.355E-2</v>
      </c>
      <c r="BR13" s="1">
        <v>1.2999999999999999E-2</v>
      </c>
      <c r="BS13" s="1">
        <v>1.2710000000000001E-2</v>
      </c>
      <c r="BT13" s="1">
        <v>9.8799999999999999E-3</v>
      </c>
      <c r="BU13" s="1">
        <v>1.315E-2</v>
      </c>
      <c r="BV13" s="1">
        <v>0</v>
      </c>
      <c r="BW13" s="1">
        <v>1.3610000000000001E-2</v>
      </c>
      <c r="BX13" s="1">
        <v>1.0019999999999999E-2</v>
      </c>
      <c r="BY13" s="1">
        <v>1.35E-2</v>
      </c>
      <c r="BZ13" s="1">
        <v>1.6E-2</v>
      </c>
      <c r="CA13" s="1">
        <v>1.3089999999999999E-2</v>
      </c>
      <c r="CB13" s="1">
        <v>1.333E-2</v>
      </c>
      <c r="CC13" s="1">
        <v>1.069E-2</v>
      </c>
      <c r="CD13" s="1">
        <v>1.035E-2</v>
      </c>
      <c r="CE13" s="1">
        <v>1.0489999999999999E-2</v>
      </c>
      <c r="CF13" s="1">
        <v>1.2919999999999999E-2</v>
      </c>
      <c r="CG13" s="1">
        <v>1.3129999999999999E-2</v>
      </c>
      <c r="CH13" s="1">
        <v>1.814E-2</v>
      </c>
      <c r="CI13" s="1">
        <v>1.295E-2</v>
      </c>
      <c r="CJ13" s="1">
        <v>1.018E-2</v>
      </c>
      <c r="CK13" s="1">
        <v>1.6330000000000001E-2</v>
      </c>
      <c r="CL13" s="1">
        <v>1.112E-2</v>
      </c>
      <c r="CM13" s="1">
        <v>0</v>
      </c>
      <c r="CN13" s="1">
        <v>1.265E-2</v>
      </c>
      <c r="CO13" s="1">
        <v>1.5730000000000001E-2</v>
      </c>
      <c r="CP13" s="1">
        <v>1.336E-2</v>
      </c>
      <c r="CQ13" s="1">
        <v>1.376E-2</v>
      </c>
      <c r="CR13" s="1">
        <v>1.2999999999999999E-2</v>
      </c>
      <c r="CS13" s="1">
        <v>0</v>
      </c>
      <c r="CT13" s="1">
        <v>1.3050000000000001E-2</v>
      </c>
      <c r="CU13" s="1">
        <v>1.363E-2</v>
      </c>
      <c r="CV13" s="1">
        <v>1.175E-2</v>
      </c>
      <c r="CW13" s="1">
        <v>1.128E-2</v>
      </c>
      <c r="CX13" s="1">
        <v>1.3010000000000001E-2</v>
      </c>
      <c r="CY13" s="1">
        <v>1.035E-2</v>
      </c>
      <c r="CZ13" s="1">
        <v>1.2800000000000001E-2</v>
      </c>
      <c r="DA13" s="1">
        <v>1.24E-2</v>
      </c>
      <c r="DB13" s="1">
        <v>1.5900000000000001E-2</v>
      </c>
      <c r="DC13" s="1">
        <v>1.2200000000000001E-2</v>
      </c>
      <c r="DD13" s="1">
        <v>1.34E-2</v>
      </c>
      <c r="DE13" s="1">
        <v>1.37E-2</v>
      </c>
      <c r="DF13" s="1">
        <v>1.2200000000000001E-2</v>
      </c>
      <c r="DG13" s="1">
        <v>1.32E-2</v>
      </c>
      <c r="DH13" s="1">
        <v>1.0500000000000001E-2</v>
      </c>
      <c r="DI13" s="1">
        <v>9.7000000000000003E-3</v>
      </c>
      <c r="DJ13" s="1">
        <v>1.09E-2</v>
      </c>
      <c r="DK13" s="1">
        <v>0</v>
      </c>
      <c r="DL13" s="1">
        <v>1.4500000000000001E-2</v>
      </c>
      <c r="DM13" s="1">
        <v>1.3100000000000001E-2</v>
      </c>
      <c r="DN13" s="1">
        <v>1.2800000000000001E-2</v>
      </c>
      <c r="DO13" s="1">
        <v>1.23E-2</v>
      </c>
      <c r="DP13" s="1">
        <v>1.38E-2</v>
      </c>
      <c r="DQ13" s="1">
        <v>1.0800000000000001E-2</v>
      </c>
      <c r="DR13" s="1">
        <v>1.3100000000000001E-2</v>
      </c>
      <c r="DS13" s="1">
        <v>1.47E-2</v>
      </c>
      <c r="DT13" s="1">
        <v>1.29E-2</v>
      </c>
      <c r="DU13" s="1">
        <v>1.3899999999999999E-2</v>
      </c>
      <c r="DV13" s="1">
        <v>1.2E-2</v>
      </c>
      <c r="DW13" s="1">
        <v>1.4500000000000001E-2</v>
      </c>
      <c r="DX13" s="1">
        <v>1.2999999999999999E-2</v>
      </c>
      <c r="DY13" s="1">
        <v>1.32E-2</v>
      </c>
      <c r="DZ13" s="1">
        <v>1.12E-2</v>
      </c>
    </row>
    <row r="14" spans="1:130" x14ac:dyDescent="0.3">
      <c r="A14" s="2" t="s">
        <v>166</v>
      </c>
      <c r="B14" s="1">
        <v>2.7709999999999999E-2</v>
      </c>
      <c r="C14" s="1">
        <v>2.0979999999999999E-2</v>
      </c>
      <c r="D14" s="1">
        <v>2.0279999999999999E-2</v>
      </c>
      <c r="E14" s="1">
        <v>2.051E-2</v>
      </c>
      <c r="F14" s="1">
        <v>2.3769999999999999E-2</v>
      </c>
      <c r="G14" s="1">
        <v>2.6280000000000001E-2</v>
      </c>
      <c r="H14" s="1">
        <v>2.427E-2</v>
      </c>
      <c r="I14" s="1">
        <v>2.085E-2</v>
      </c>
      <c r="J14" s="1">
        <v>2.1080000000000002E-2</v>
      </c>
      <c r="K14" s="1">
        <v>2.8879999999999999E-2</v>
      </c>
      <c r="L14" s="1">
        <v>2.6329999999999999E-2</v>
      </c>
      <c r="M14" s="1">
        <v>1.9630000000000002E-2</v>
      </c>
      <c r="N14" s="1">
        <v>2.2669999999999999E-2</v>
      </c>
      <c r="O14" s="1">
        <v>2.0639999999999999E-2</v>
      </c>
      <c r="P14" s="1">
        <v>1.882E-2</v>
      </c>
      <c r="Q14" s="1">
        <v>2.2849999999999999E-2</v>
      </c>
      <c r="R14" s="1">
        <v>2.409E-2</v>
      </c>
      <c r="S14" s="1">
        <v>1.9109999999999999E-2</v>
      </c>
      <c r="T14" s="1">
        <v>2.018E-2</v>
      </c>
      <c r="U14" s="1">
        <v>1.9220000000000001E-2</v>
      </c>
      <c r="V14" s="1">
        <v>2.0420000000000001E-2</v>
      </c>
      <c r="W14" s="1">
        <v>1.6480000000000002E-2</v>
      </c>
      <c r="X14" s="1">
        <v>2.1870000000000001E-2</v>
      </c>
      <c r="Y14" s="1">
        <v>2.188E-2</v>
      </c>
      <c r="Z14" s="1">
        <v>1.7919999999999998E-2</v>
      </c>
      <c r="AA14" s="1">
        <v>2.639E-2</v>
      </c>
      <c r="AB14" s="1">
        <v>2.5780000000000001E-2</v>
      </c>
      <c r="AC14" s="1">
        <v>2.1749999999999999E-2</v>
      </c>
      <c r="AD14" s="1">
        <v>2.146E-2</v>
      </c>
      <c r="AE14" s="1">
        <v>2.1919999999999999E-2</v>
      </c>
      <c r="AF14" s="1">
        <v>2.179E-2</v>
      </c>
      <c r="AG14" s="1">
        <v>2.436E-2</v>
      </c>
      <c r="AH14" s="1">
        <v>2.3789999999999999E-2</v>
      </c>
      <c r="AI14" s="1">
        <v>2.2540000000000001E-2</v>
      </c>
      <c r="AJ14" s="1">
        <v>2.6270000000000002E-2</v>
      </c>
      <c r="AK14" s="1">
        <v>2.2089999999999999E-2</v>
      </c>
      <c r="AL14" s="1">
        <v>1.4149999999999999E-2</v>
      </c>
      <c r="AM14" s="1">
        <v>2.5149999999999999E-2</v>
      </c>
      <c r="AN14" s="1">
        <v>2.4819999999999998E-2</v>
      </c>
      <c r="AO14" s="1">
        <v>1.575E-2</v>
      </c>
      <c r="AP14" s="1">
        <v>2.5610000000000001E-2</v>
      </c>
      <c r="AQ14" s="1">
        <v>2.315E-2</v>
      </c>
      <c r="AR14" s="1">
        <v>1.8519999999999998E-2</v>
      </c>
      <c r="AS14" s="1">
        <v>1.959E-2</v>
      </c>
      <c r="AT14" s="1">
        <v>1.9130000000000001E-2</v>
      </c>
      <c r="AU14" s="1">
        <v>1.932E-2</v>
      </c>
      <c r="AV14" s="1">
        <v>0</v>
      </c>
      <c r="AW14" s="1">
        <v>1.5559999999999999E-2</v>
      </c>
      <c r="AX14" s="1">
        <v>2.3769999999999999E-2</v>
      </c>
      <c r="AY14" s="1">
        <v>2.5159999999999998E-2</v>
      </c>
      <c r="AZ14" s="1">
        <v>2.0500000000000001E-2</v>
      </c>
      <c r="BA14" s="1">
        <v>2.341E-2</v>
      </c>
      <c r="BB14" s="1">
        <v>2.2179999999999998E-2</v>
      </c>
      <c r="BC14" s="1">
        <v>2.6409999999999999E-2</v>
      </c>
      <c r="BD14" s="1">
        <v>2.07E-2</v>
      </c>
      <c r="BE14" s="1">
        <v>1.7649999999999999E-2</v>
      </c>
      <c r="BF14" s="1">
        <v>2.1930000000000002E-2</v>
      </c>
      <c r="BG14" s="1">
        <v>2.283E-2</v>
      </c>
      <c r="BH14" s="1">
        <v>2.196E-2</v>
      </c>
      <c r="BI14" s="1">
        <v>2.1510000000000001E-2</v>
      </c>
      <c r="BJ14" s="1">
        <v>1.95E-2</v>
      </c>
      <c r="BK14" s="1">
        <v>2.147E-2</v>
      </c>
      <c r="BL14" s="1">
        <v>1.8870000000000001E-2</v>
      </c>
      <c r="BM14" s="1">
        <v>1.8089999999999998E-2</v>
      </c>
      <c r="BN14" s="1">
        <v>1.9390000000000001E-2</v>
      </c>
      <c r="BO14" s="1">
        <v>1.609E-2</v>
      </c>
      <c r="BP14" s="1">
        <v>1.7590000000000001E-2</v>
      </c>
      <c r="BQ14" s="1">
        <v>2.3259999999999999E-2</v>
      </c>
      <c r="BR14" s="1">
        <v>0</v>
      </c>
      <c r="BS14" s="1">
        <v>0</v>
      </c>
      <c r="BT14" s="1">
        <v>1.421E-2</v>
      </c>
      <c r="BU14" s="1">
        <v>1.7579999999999998E-2</v>
      </c>
      <c r="BV14" s="1">
        <v>1.592E-2</v>
      </c>
      <c r="BW14" s="1">
        <v>2.4340000000000001E-2</v>
      </c>
      <c r="BX14" s="1">
        <v>1.6480000000000002E-2</v>
      </c>
      <c r="BY14" s="1">
        <v>1.712E-2</v>
      </c>
      <c r="BZ14" s="1">
        <v>1.8610000000000002E-2</v>
      </c>
      <c r="CA14" s="1">
        <v>1.6570000000000001E-2</v>
      </c>
      <c r="CB14" s="1">
        <v>1.721E-2</v>
      </c>
      <c r="CC14" s="1">
        <v>1.6E-2</v>
      </c>
      <c r="CD14" s="1">
        <v>1.6299999999999999E-2</v>
      </c>
      <c r="CE14" s="1">
        <v>1.5570000000000001E-2</v>
      </c>
      <c r="CF14" s="1">
        <v>1.584E-2</v>
      </c>
      <c r="CG14" s="1">
        <v>2.6960000000000001E-2</v>
      </c>
      <c r="CH14" s="1">
        <v>1.8419999999999999E-2</v>
      </c>
      <c r="CI14" s="1">
        <v>1.8280000000000001E-2</v>
      </c>
      <c r="CJ14" s="1">
        <v>1.77E-2</v>
      </c>
      <c r="CK14" s="1">
        <v>1.8200000000000001E-2</v>
      </c>
      <c r="CL14" s="1">
        <v>1.9869999999999999E-2</v>
      </c>
      <c r="CM14" s="1">
        <v>2.0879999999999999E-2</v>
      </c>
      <c r="CN14" s="1">
        <v>1.9259999999999999E-2</v>
      </c>
      <c r="CO14" s="1">
        <v>2.282E-2</v>
      </c>
      <c r="CP14" s="1">
        <v>2.077E-2</v>
      </c>
      <c r="CQ14" s="1">
        <v>2.3939999999999999E-2</v>
      </c>
      <c r="CR14" s="1">
        <v>2.6040000000000001E-2</v>
      </c>
      <c r="CS14" s="1">
        <v>1.7090000000000001E-2</v>
      </c>
      <c r="CT14" s="1">
        <v>1.9109999999999999E-2</v>
      </c>
      <c r="CU14" s="1">
        <v>2.3439999999999999E-2</v>
      </c>
      <c r="CV14" s="1">
        <v>1.9519999999999999E-2</v>
      </c>
      <c r="CW14" s="1">
        <v>2.078E-2</v>
      </c>
      <c r="CX14" s="1">
        <v>1.915E-2</v>
      </c>
      <c r="CY14" s="1">
        <v>1.9800000000000002E-2</v>
      </c>
      <c r="CZ14" s="1">
        <v>2.5600000000000001E-2</v>
      </c>
      <c r="DA14" s="1">
        <v>2.1600000000000001E-2</v>
      </c>
      <c r="DB14" s="1">
        <v>2.1000000000000001E-2</v>
      </c>
      <c r="DC14" s="1">
        <v>2.0400000000000001E-2</v>
      </c>
      <c r="DD14" s="1">
        <v>2.5000000000000001E-2</v>
      </c>
      <c r="DE14" s="1">
        <v>2.5899999999999999E-2</v>
      </c>
      <c r="DF14" s="1">
        <v>2.1100000000000001E-2</v>
      </c>
      <c r="DG14" s="1">
        <v>1.9300000000000001E-2</v>
      </c>
      <c r="DH14" s="1">
        <v>1.6199999999999999E-2</v>
      </c>
      <c r="DI14" s="1">
        <v>2.07E-2</v>
      </c>
      <c r="DJ14" s="1">
        <v>2.07E-2</v>
      </c>
      <c r="DK14" s="1">
        <v>1.5900000000000001E-2</v>
      </c>
      <c r="DL14" s="1">
        <v>2.8000000000000001E-2</v>
      </c>
      <c r="DM14" s="1">
        <v>2.2800000000000001E-2</v>
      </c>
      <c r="DN14" s="1">
        <v>2.2700000000000001E-2</v>
      </c>
      <c r="DO14" s="1">
        <v>1.9900000000000001E-2</v>
      </c>
      <c r="DP14" s="1">
        <v>2.3699999999999999E-2</v>
      </c>
      <c r="DQ14" s="1">
        <v>1.5900000000000001E-2</v>
      </c>
      <c r="DR14" s="1">
        <v>1.9800000000000002E-2</v>
      </c>
      <c r="DS14" s="1">
        <v>2.0899999999999998E-2</v>
      </c>
      <c r="DT14" s="1">
        <v>1.9699999999999999E-2</v>
      </c>
      <c r="DU14" s="1">
        <v>2.12E-2</v>
      </c>
      <c r="DV14" s="1">
        <v>2.07E-2</v>
      </c>
      <c r="DW14" s="1">
        <v>2.7099999999999999E-2</v>
      </c>
      <c r="DX14" s="1">
        <v>2.9899999999999999E-2</v>
      </c>
      <c r="DY14" s="1">
        <v>2.0400000000000001E-2</v>
      </c>
      <c r="DZ14" s="1">
        <v>2.35E-2</v>
      </c>
    </row>
    <row r="15" spans="1:130" x14ac:dyDescent="0.3">
      <c r="A15" s="2" t="s">
        <v>167</v>
      </c>
      <c r="B15" s="1">
        <v>1.9140000000000001E-2</v>
      </c>
      <c r="C15" s="1">
        <v>1.7670000000000002E-2</v>
      </c>
      <c r="D15" s="1">
        <v>1.575E-2</v>
      </c>
      <c r="E15" s="1">
        <v>1.4500000000000001E-2</v>
      </c>
      <c r="F15" s="1">
        <v>1.9130000000000001E-2</v>
      </c>
      <c r="G15" s="1">
        <v>1.9E-2</v>
      </c>
      <c r="H15" s="1">
        <v>1.823E-2</v>
      </c>
      <c r="I15" s="1">
        <v>1.4409999999999999E-2</v>
      </c>
      <c r="J15" s="1">
        <v>1.5169999999999999E-2</v>
      </c>
      <c r="K15" s="1">
        <v>1.951E-2</v>
      </c>
      <c r="L15" s="1">
        <v>1.856E-2</v>
      </c>
      <c r="M15" s="1">
        <v>1.393E-2</v>
      </c>
      <c r="N15" s="1">
        <v>1.559E-2</v>
      </c>
      <c r="O15" s="1">
        <v>0</v>
      </c>
      <c r="P15" s="1">
        <v>1.5720000000000001E-2</v>
      </c>
      <c r="Q15" s="1">
        <v>1.686E-2</v>
      </c>
      <c r="R15" s="1">
        <v>1.8499999999999999E-2</v>
      </c>
      <c r="S15" s="1">
        <v>1.6899999999999998E-2</v>
      </c>
      <c r="T15" s="1">
        <v>1.4619999999999999E-2</v>
      </c>
      <c r="U15" s="1">
        <v>0</v>
      </c>
      <c r="V15" s="1">
        <v>1.5180000000000001E-2</v>
      </c>
      <c r="W15" s="1">
        <v>1.4829999999999999E-2</v>
      </c>
      <c r="X15" s="1">
        <v>1.5939999999999999E-2</v>
      </c>
      <c r="Y15" s="1">
        <v>1.6899999999999998E-2</v>
      </c>
      <c r="Z15" s="1">
        <v>1.702E-2</v>
      </c>
      <c r="AA15" s="1">
        <v>1.9460000000000002E-2</v>
      </c>
      <c r="AB15" s="1">
        <v>1.9259999999999999E-2</v>
      </c>
      <c r="AC15" s="1">
        <v>1.8849999999999999E-2</v>
      </c>
      <c r="AD15" s="1">
        <v>1.4590000000000001E-2</v>
      </c>
      <c r="AE15" s="1">
        <v>0</v>
      </c>
      <c r="AF15" s="1">
        <v>0</v>
      </c>
      <c r="AG15" s="1">
        <v>1.8939999999999999E-2</v>
      </c>
      <c r="AH15" s="1">
        <v>1.8630000000000001E-2</v>
      </c>
      <c r="AI15" s="1">
        <v>1.7229999999999999E-2</v>
      </c>
      <c r="AJ15" s="1">
        <v>1.6709999999999999E-2</v>
      </c>
      <c r="AK15" s="1">
        <v>1.4999999999999999E-2</v>
      </c>
      <c r="AL15" s="1">
        <v>1.4659999999999999E-2</v>
      </c>
      <c r="AM15" s="1">
        <v>1.652E-2</v>
      </c>
      <c r="AN15" s="1">
        <v>1.737E-2</v>
      </c>
      <c r="AO15" s="1">
        <v>1.303E-2</v>
      </c>
      <c r="AP15" s="1">
        <v>1.5980000000000001E-2</v>
      </c>
      <c r="AQ15" s="1">
        <v>1.7160000000000002E-2</v>
      </c>
      <c r="AR15" s="1">
        <v>1.7049999999999999E-2</v>
      </c>
      <c r="AS15" s="1">
        <v>1.6959999999999999E-2</v>
      </c>
      <c r="AT15" s="1">
        <v>0</v>
      </c>
      <c r="AU15" s="1">
        <v>1.805E-2</v>
      </c>
      <c r="AV15" s="1">
        <v>1.7690000000000001E-2</v>
      </c>
      <c r="AW15" s="1">
        <v>0</v>
      </c>
      <c r="AX15" s="1">
        <v>1.6760000000000001E-2</v>
      </c>
      <c r="AY15" s="1">
        <v>1.7049999999999999E-2</v>
      </c>
      <c r="AZ15" s="1">
        <v>1.704E-2</v>
      </c>
      <c r="BA15" s="1">
        <v>1.6070000000000001E-2</v>
      </c>
      <c r="BB15" s="1">
        <v>1.486E-2</v>
      </c>
      <c r="BC15" s="1">
        <v>1.804E-2</v>
      </c>
      <c r="BD15" s="1">
        <v>1.6209999999999999E-2</v>
      </c>
      <c r="BE15" s="1">
        <v>1.6830000000000001E-2</v>
      </c>
      <c r="BF15" s="1">
        <v>1.719E-2</v>
      </c>
      <c r="BG15" s="1">
        <v>1.728E-2</v>
      </c>
      <c r="BH15" s="1">
        <v>1.678E-2</v>
      </c>
      <c r="BI15" s="1">
        <v>1.473E-2</v>
      </c>
      <c r="BJ15" s="1">
        <v>1.6240000000000001E-2</v>
      </c>
      <c r="BK15" s="1">
        <v>1.5520000000000001E-2</v>
      </c>
      <c r="BL15" s="1">
        <v>1.737E-2</v>
      </c>
      <c r="BM15" s="1">
        <v>1.6279999999999999E-2</v>
      </c>
      <c r="BN15" s="1">
        <v>1.5089999999999999E-2</v>
      </c>
      <c r="BO15" s="1">
        <v>1.464E-2</v>
      </c>
      <c r="BP15" s="1">
        <v>1.3990000000000001E-2</v>
      </c>
      <c r="BQ15" s="1">
        <v>1.949E-2</v>
      </c>
      <c r="BR15" s="1">
        <v>1.6899999999999998E-2</v>
      </c>
      <c r="BS15" s="1">
        <v>1.7489999999999999E-2</v>
      </c>
      <c r="BT15" s="1">
        <v>1.503E-2</v>
      </c>
      <c r="BU15" s="1">
        <v>1.6119999999999999E-2</v>
      </c>
      <c r="BV15" s="1">
        <v>1.455E-2</v>
      </c>
      <c r="BW15" s="1">
        <v>1.951E-2</v>
      </c>
      <c r="BX15" s="1">
        <v>0</v>
      </c>
      <c r="BY15" s="1">
        <v>1.4030000000000001E-2</v>
      </c>
      <c r="BZ15" s="1">
        <v>1.353E-2</v>
      </c>
      <c r="CA15" s="1">
        <v>1.5049999999999999E-2</v>
      </c>
      <c r="CB15" s="1">
        <v>1.9310000000000001E-2</v>
      </c>
      <c r="CC15" s="1">
        <v>1.5010000000000001E-2</v>
      </c>
      <c r="CD15" s="1">
        <v>1.464E-2</v>
      </c>
      <c r="CE15" s="1">
        <v>1.465E-2</v>
      </c>
      <c r="CF15" s="1">
        <v>1.519E-2</v>
      </c>
      <c r="CG15" s="1">
        <v>1.804E-2</v>
      </c>
      <c r="CH15" s="1">
        <v>1.4630000000000001E-2</v>
      </c>
      <c r="CI15" s="1">
        <v>1.541E-2</v>
      </c>
      <c r="CJ15" s="1">
        <v>0</v>
      </c>
      <c r="CK15" s="1">
        <v>1.346E-2</v>
      </c>
      <c r="CL15" s="1">
        <v>1.4800000000000001E-2</v>
      </c>
      <c r="CM15" s="1">
        <v>0</v>
      </c>
      <c r="CN15" s="1">
        <v>1.4840000000000001E-2</v>
      </c>
      <c r="CO15" s="1">
        <v>1.7739999999999999E-2</v>
      </c>
      <c r="CP15" s="1">
        <v>1.537E-2</v>
      </c>
      <c r="CQ15" s="1">
        <v>1.7930000000000001E-2</v>
      </c>
      <c r="CR15" s="1">
        <v>1.519E-2</v>
      </c>
      <c r="CS15" s="1">
        <v>1.47E-2</v>
      </c>
      <c r="CT15" s="1">
        <v>1.5429999999999999E-2</v>
      </c>
      <c r="CU15" s="1">
        <v>1.7170000000000001E-2</v>
      </c>
      <c r="CV15" s="1">
        <v>1.6330000000000001E-2</v>
      </c>
      <c r="CW15" s="1">
        <v>1.489E-2</v>
      </c>
      <c r="CX15" s="1">
        <v>1.558E-2</v>
      </c>
      <c r="CY15" s="1">
        <v>0</v>
      </c>
      <c r="CZ15" s="1">
        <v>1.8800000000000001E-2</v>
      </c>
      <c r="DA15" s="1">
        <v>1.7500000000000002E-2</v>
      </c>
      <c r="DB15" s="1">
        <v>1.6899999999999998E-2</v>
      </c>
      <c r="DC15" s="1">
        <v>1.6799999999999999E-2</v>
      </c>
      <c r="DD15" s="1">
        <v>1.7500000000000002E-2</v>
      </c>
      <c r="DE15" s="1">
        <v>1.6199999999999999E-2</v>
      </c>
      <c r="DF15" s="1">
        <v>1.77E-2</v>
      </c>
      <c r="DG15" s="1">
        <v>1.46E-2</v>
      </c>
      <c r="DH15" s="1">
        <v>0</v>
      </c>
      <c r="DI15" s="1">
        <v>1.46E-2</v>
      </c>
      <c r="DJ15" s="1">
        <v>0</v>
      </c>
      <c r="DK15" s="1">
        <v>1.47E-2</v>
      </c>
      <c r="DL15" s="1">
        <v>1.6500000000000001E-2</v>
      </c>
      <c r="DM15" s="1">
        <v>1.6899999999999998E-2</v>
      </c>
      <c r="DN15" s="1">
        <v>1.6199999999999999E-2</v>
      </c>
      <c r="DO15" s="1">
        <v>1.6199999999999999E-2</v>
      </c>
      <c r="DP15" s="1">
        <v>1.5100000000000001E-2</v>
      </c>
      <c r="DQ15" s="1">
        <v>1.5100000000000001E-2</v>
      </c>
      <c r="DR15" s="1">
        <v>1.49E-2</v>
      </c>
      <c r="DS15" s="1">
        <v>1.77E-2</v>
      </c>
      <c r="DT15" s="1">
        <v>1.5699999999999999E-2</v>
      </c>
      <c r="DU15" s="1">
        <v>1.7500000000000002E-2</v>
      </c>
      <c r="DV15" s="1">
        <v>1.8200000000000001E-2</v>
      </c>
      <c r="DW15" s="1">
        <v>1.5599999999999999E-2</v>
      </c>
      <c r="DX15" s="1">
        <v>1.6500000000000001E-2</v>
      </c>
      <c r="DY15" s="1">
        <v>1.6199999999999999E-2</v>
      </c>
      <c r="DZ15" s="1">
        <v>0</v>
      </c>
    </row>
    <row r="16" spans="1:130" x14ac:dyDescent="0.3">
      <c r="A16" s="2" t="s">
        <v>189</v>
      </c>
      <c r="B16" s="1">
        <v>1.214E-2</v>
      </c>
      <c r="C16" s="1">
        <v>1.1730000000000001E-2</v>
      </c>
      <c r="D16" s="1">
        <v>0</v>
      </c>
      <c r="E16" s="1">
        <v>9.6900000000000007E-3</v>
      </c>
      <c r="F16" s="1">
        <v>1.204E-2</v>
      </c>
      <c r="G16" s="1">
        <v>1.176E-2</v>
      </c>
      <c r="H16" s="1">
        <v>1.2579999999999999E-2</v>
      </c>
      <c r="I16" s="1">
        <v>9.92E-3</v>
      </c>
      <c r="J16" s="1">
        <v>0</v>
      </c>
      <c r="K16" s="1">
        <v>1.1650000000000001E-2</v>
      </c>
      <c r="L16" s="1">
        <v>1.2030000000000001E-2</v>
      </c>
      <c r="M16" s="1">
        <v>9.9799999999999993E-3</v>
      </c>
      <c r="N16" s="1">
        <v>0</v>
      </c>
      <c r="O16" s="1">
        <v>9.7000000000000003E-3</v>
      </c>
      <c r="P16" s="1">
        <v>9.5999999999999992E-3</v>
      </c>
      <c r="Q16" s="1">
        <v>1.059E-2</v>
      </c>
      <c r="R16" s="1">
        <v>1.1089999999999999E-2</v>
      </c>
      <c r="S16" s="1">
        <v>1.09E-2</v>
      </c>
      <c r="T16" s="1">
        <v>9.75E-3</v>
      </c>
      <c r="U16" s="1">
        <v>1.325E-2</v>
      </c>
      <c r="V16" s="1">
        <v>9.7199999999999995E-3</v>
      </c>
      <c r="W16" s="1">
        <v>2.7349999999999999E-2</v>
      </c>
      <c r="X16" s="1">
        <v>9.6100000000000005E-3</v>
      </c>
      <c r="Y16" s="1">
        <v>0</v>
      </c>
      <c r="Z16" s="1">
        <v>1.042E-2</v>
      </c>
      <c r="AA16" s="1">
        <v>1.1180000000000001E-2</v>
      </c>
      <c r="AB16" s="1">
        <v>1.184E-2</v>
      </c>
      <c r="AC16" s="1">
        <v>1.175E-2</v>
      </c>
      <c r="AD16" s="1">
        <v>9.7999999999999997E-3</v>
      </c>
      <c r="AE16" s="1">
        <v>1.3639999999999999E-2</v>
      </c>
      <c r="AF16" s="1">
        <v>9.8200000000000006E-3</v>
      </c>
      <c r="AG16" s="1">
        <v>1.2200000000000001E-2</v>
      </c>
      <c r="AH16" s="1">
        <v>1.2019999999999999E-2</v>
      </c>
      <c r="AI16" s="1">
        <v>1.069E-2</v>
      </c>
      <c r="AJ16" s="1">
        <v>1.1350000000000001E-2</v>
      </c>
      <c r="AK16" s="1">
        <v>1.34E-2</v>
      </c>
      <c r="AL16" s="1">
        <v>2.7910000000000001E-2</v>
      </c>
      <c r="AM16" s="1">
        <v>1.1339999999999999E-2</v>
      </c>
      <c r="AN16" s="1">
        <v>1.0330000000000001E-2</v>
      </c>
      <c r="AO16" s="1">
        <v>9.0399999999999994E-3</v>
      </c>
      <c r="AP16" s="1">
        <v>1.14E-2</v>
      </c>
      <c r="AQ16" s="1">
        <v>1.06E-2</v>
      </c>
      <c r="AR16" s="1">
        <v>1.371E-2</v>
      </c>
      <c r="AS16" s="1">
        <v>1.393E-2</v>
      </c>
      <c r="AT16" s="1">
        <v>1.303E-2</v>
      </c>
      <c r="AU16" s="1">
        <v>0</v>
      </c>
      <c r="AV16" s="1">
        <v>0</v>
      </c>
      <c r="AW16" s="1">
        <v>2.7439999999999999E-2</v>
      </c>
      <c r="AX16" s="1">
        <v>1.0630000000000001E-2</v>
      </c>
      <c r="AY16" s="1">
        <v>1.0710000000000001E-2</v>
      </c>
      <c r="AZ16" s="1">
        <v>1.0699999999999999E-2</v>
      </c>
      <c r="BA16" s="1">
        <v>1.074E-2</v>
      </c>
      <c r="BB16" s="1">
        <v>9.4000000000000004E-3</v>
      </c>
      <c r="BC16" s="1">
        <v>1.172E-2</v>
      </c>
      <c r="BD16" s="1">
        <v>1.414E-2</v>
      </c>
      <c r="BE16" s="1">
        <v>1.3509999999999999E-2</v>
      </c>
      <c r="BF16" s="1">
        <v>1.056E-2</v>
      </c>
      <c r="BG16" s="1">
        <v>1.0869999999999999E-2</v>
      </c>
      <c r="BH16" s="1">
        <v>0</v>
      </c>
      <c r="BI16" s="1">
        <v>9.2499999999999995E-3</v>
      </c>
      <c r="BJ16" s="1">
        <v>2.9829999999999999E-2</v>
      </c>
      <c r="BK16" s="1">
        <v>1.4109999999999999E-2</v>
      </c>
      <c r="BL16" s="1">
        <v>1.4239999999999999E-2</v>
      </c>
      <c r="BM16" s="1">
        <v>1.3339999999999999E-2</v>
      </c>
      <c r="BN16" s="1">
        <v>1.3780000000000001E-2</v>
      </c>
      <c r="BO16" s="1">
        <v>2.2759999999999999E-2</v>
      </c>
      <c r="BP16" s="1">
        <v>7.8300000000000002E-3</v>
      </c>
      <c r="BQ16" s="1">
        <v>1.175E-2</v>
      </c>
      <c r="BR16" s="1">
        <v>1.2019999999999999E-2</v>
      </c>
      <c r="BS16" s="1">
        <v>1.221E-2</v>
      </c>
      <c r="BT16" s="1">
        <v>9.4500000000000001E-3</v>
      </c>
      <c r="BU16" s="1">
        <v>9.5200000000000007E-3</v>
      </c>
      <c r="BV16" s="1">
        <v>2.3460000000000002E-2</v>
      </c>
      <c r="BW16" s="1">
        <v>0</v>
      </c>
      <c r="BX16" s="1">
        <v>2.3380000000000001E-2</v>
      </c>
      <c r="BY16" s="1">
        <v>9.5499999999999995E-3</v>
      </c>
      <c r="BZ16" s="1">
        <v>7.7999999999999996E-3</v>
      </c>
      <c r="CA16" s="1">
        <v>9.7000000000000003E-3</v>
      </c>
      <c r="CB16" s="1">
        <v>1.155E-2</v>
      </c>
      <c r="CC16" s="1">
        <v>2.249E-2</v>
      </c>
      <c r="CD16" s="1">
        <v>2.3879999999999998E-2</v>
      </c>
      <c r="CE16" s="1">
        <v>2.3210000000000001E-2</v>
      </c>
      <c r="CF16" s="1">
        <v>9.3500000000000007E-3</v>
      </c>
      <c r="CG16" s="1">
        <v>0</v>
      </c>
      <c r="CH16" s="1">
        <v>0</v>
      </c>
      <c r="CI16" s="1">
        <v>0</v>
      </c>
      <c r="CJ16" s="1">
        <v>2.2190000000000001E-2</v>
      </c>
      <c r="CK16" s="1">
        <v>0</v>
      </c>
      <c r="CL16" s="1">
        <v>1.387E-2</v>
      </c>
      <c r="CM16" s="1">
        <v>1.0070000000000001E-2</v>
      </c>
      <c r="CN16" s="1">
        <v>9.4400000000000005E-3</v>
      </c>
      <c r="CO16" s="1">
        <v>1.4579999999999999E-2</v>
      </c>
      <c r="CP16" s="1">
        <v>1.1129999999999999E-2</v>
      </c>
      <c r="CQ16" s="1">
        <v>1.142E-2</v>
      </c>
      <c r="CR16" s="1">
        <v>1.1010000000000001E-2</v>
      </c>
      <c r="CS16" s="1">
        <v>2.7959999999999999E-2</v>
      </c>
      <c r="CT16" s="1">
        <v>9.7000000000000003E-3</v>
      </c>
      <c r="CU16" s="1">
        <v>1.119E-2</v>
      </c>
      <c r="CV16" s="1">
        <v>1.1339999999999999E-2</v>
      </c>
      <c r="CW16" s="1">
        <v>1.371E-2</v>
      </c>
      <c r="CX16" s="1">
        <v>9.4299999999999991E-3</v>
      </c>
      <c r="CY16" s="1">
        <v>9.9799999999999993E-3</v>
      </c>
      <c r="CZ16" s="1">
        <v>1.18E-2</v>
      </c>
      <c r="DA16" s="1">
        <v>1.1299999999999999E-2</v>
      </c>
      <c r="DB16" s="1">
        <v>0</v>
      </c>
      <c r="DC16" s="1">
        <v>1.0999999999999999E-2</v>
      </c>
      <c r="DD16" s="1">
        <v>1.14E-2</v>
      </c>
      <c r="DE16" s="1">
        <v>1.04E-2</v>
      </c>
      <c r="DF16" s="1">
        <v>1.12E-2</v>
      </c>
      <c r="DG16" s="1">
        <v>0</v>
      </c>
      <c r="DH16" s="1">
        <v>2.75E-2</v>
      </c>
      <c r="DI16" s="1">
        <v>1.03E-2</v>
      </c>
      <c r="DJ16" s="1">
        <v>1.3599999999999999E-2</v>
      </c>
      <c r="DK16" s="1">
        <v>2.7400000000000001E-2</v>
      </c>
      <c r="DL16" s="1">
        <v>1.01E-2</v>
      </c>
      <c r="DM16" s="1">
        <v>1.18E-2</v>
      </c>
      <c r="DN16" s="1">
        <v>1.11E-2</v>
      </c>
      <c r="DO16" s="1">
        <v>1.0800000000000001E-2</v>
      </c>
      <c r="DP16" s="1">
        <v>1.04E-2</v>
      </c>
      <c r="DQ16" s="1">
        <v>2.8000000000000001E-2</v>
      </c>
      <c r="DR16" s="1">
        <v>9.7000000000000003E-3</v>
      </c>
      <c r="DS16" s="1">
        <v>1.29E-2</v>
      </c>
      <c r="DT16" s="1">
        <v>9.5999999999999992E-3</v>
      </c>
      <c r="DU16" s="1">
        <v>1.2E-2</v>
      </c>
      <c r="DV16" s="1">
        <v>1.0800000000000001E-2</v>
      </c>
      <c r="DW16" s="1">
        <v>1.03E-2</v>
      </c>
      <c r="DX16" s="1">
        <v>1.06E-2</v>
      </c>
      <c r="DY16" s="1">
        <v>9.4999999999999998E-3</v>
      </c>
      <c r="DZ16" s="1">
        <v>1.3899999999999999E-2</v>
      </c>
    </row>
    <row r="17" spans="1:130" x14ac:dyDescent="0.3">
      <c r="A17" s="2" t="s">
        <v>190</v>
      </c>
      <c r="B17" s="1">
        <v>4.768E-2</v>
      </c>
      <c r="C17" s="1">
        <v>4.5870000000000001E-2</v>
      </c>
      <c r="D17" s="1">
        <v>0</v>
      </c>
      <c r="E17" s="1">
        <v>0</v>
      </c>
      <c r="F17" s="1">
        <v>4.87E-2</v>
      </c>
      <c r="G17" s="1">
        <v>4.8050000000000002E-2</v>
      </c>
      <c r="H17" s="1">
        <v>4.7289999999999999E-2</v>
      </c>
      <c r="I17" s="1">
        <v>0</v>
      </c>
      <c r="J17" s="1">
        <v>0</v>
      </c>
      <c r="K17" s="1">
        <v>4.8039999999999999E-2</v>
      </c>
      <c r="L17" s="1">
        <v>5.1900000000000002E-2</v>
      </c>
      <c r="M17" s="1">
        <v>0</v>
      </c>
      <c r="N17" s="1">
        <v>3.9780000000000003E-2</v>
      </c>
      <c r="O17" s="1">
        <v>0</v>
      </c>
      <c r="P17" s="1">
        <v>0</v>
      </c>
      <c r="Q17" s="1">
        <v>4.2160000000000003E-2</v>
      </c>
      <c r="R17" s="1">
        <v>4.5960000000000001E-2</v>
      </c>
      <c r="S17" s="1">
        <v>4.3619999999999999E-2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4.3790000000000003E-2</v>
      </c>
      <c r="Z17" s="1">
        <v>4.4630000000000003E-2</v>
      </c>
      <c r="AA17" s="1">
        <v>4.7050000000000002E-2</v>
      </c>
      <c r="AB17" s="1">
        <v>4.9439999999999998E-2</v>
      </c>
      <c r="AC17" s="1">
        <v>4.6059999999999997E-2</v>
      </c>
      <c r="AD17" s="1">
        <v>0</v>
      </c>
      <c r="AE17" s="1">
        <v>0</v>
      </c>
      <c r="AF17" s="1">
        <v>0</v>
      </c>
      <c r="AG17" s="1">
        <v>4.6129999999999997E-2</v>
      </c>
      <c r="AH17" s="1">
        <v>4.7530000000000003E-2</v>
      </c>
      <c r="AI17" s="1">
        <v>4.41E-2</v>
      </c>
      <c r="AJ17" s="1">
        <v>4.6190000000000002E-2</v>
      </c>
      <c r="AK17" s="1">
        <v>0</v>
      </c>
      <c r="AL17" s="1">
        <v>0</v>
      </c>
      <c r="AM17" s="1">
        <v>4.5429999999999998E-2</v>
      </c>
      <c r="AN17" s="1">
        <v>4.4069999999999998E-2</v>
      </c>
      <c r="AO17" s="1">
        <v>3.8620000000000002E-2</v>
      </c>
      <c r="AP17" s="1">
        <v>4.4299999999999999E-2</v>
      </c>
      <c r="AQ17" s="1">
        <v>4.2819999999999997E-2</v>
      </c>
      <c r="AR17" s="1">
        <v>4.4889999999999999E-2</v>
      </c>
      <c r="AS17" s="1">
        <v>4.6300000000000001E-2</v>
      </c>
      <c r="AT17" s="1">
        <v>4.4400000000000002E-2</v>
      </c>
      <c r="AU17" s="1">
        <v>4.428E-2</v>
      </c>
      <c r="AV17" s="1">
        <v>0</v>
      </c>
      <c r="AW17" s="1">
        <v>0</v>
      </c>
      <c r="AX17" s="1">
        <v>4.3389999999999998E-2</v>
      </c>
      <c r="AY17" s="1">
        <v>4.5560000000000003E-2</v>
      </c>
      <c r="AZ17" s="1">
        <v>4.3950000000000003E-2</v>
      </c>
      <c r="BA17" s="1">
        <v>4.7030000000000002E-2</v>
      </c>
      <c r="BB17" s="1">
        <v>4.1140000000000003E-2</v>
      </c>
      <c r="BC17" s="1">
        <v>4.8460000000000003E-2</v>
      </c>
      <c r="BD17" s="1">
        <v>4.684E-2</v>
      </c>
      <c r="BE17" s="1">
        <v>4.5130000000000003E-2</v>
      </c>
      <c r="BF17" s="1">
        <v>4.5060000000000003E-2</v>
      </c>
      <c r="BG17" s="1">
        <v>4.3069999999999997E-2</v>
      </c>
      <c r="BH17" s="1">
        <v>4.36E-2</v>
      </c>
      <c r="BI17" s="1">
        <v>3.7420000000000002E-2</v>
      </c>
      <c r="BJ17" s="1">
        <v>4.6149999999999997E-2</v>
      </c>
      <c r="BK17" s="1">
        <v>0</v>
      </c>
      <c r="BL17" s="1">
        <v>4.863E-2</v>
      </c>
      <c r="BM17" s="1">
        <v>4.548E-2</v>
      </c>
      <c r="BN17" s="1">
        <v>4.3099999999999999E-2</v>
      </c>
      <c r="BO17" s="1">
        <v>0</v>
      </c>
      <c r="BP17" s="1">
        <v>3.3640000000000003E-2</v>
      </c>
      <c r="BQ17" s="1">
        <v>4.922E-2</v>
      </c>
      <c r="BR17" s="1">
        <v>5.3319999999999999E-2</v>
      </c>
      <c r="BS17" s="1">
        <v>0</v>
      </c>
      <c r="BT17" s="1">
        <v>4.6210000000000001E-2</v>
      </c>
      <c r="BU17" s="1">
        <v>0</v>
      </c>
      <c r="BV17" s="1">
        <v>0</v>
      </c>
      <c r="BW17" s="1">
        <v>5.1110000000000003E-2</v>
      </c>
      <c r="BX17" s="1">
        <v>0</v>
      </c>
      <c r="BY17" s="1">
        <v>0</v>
      </c>
      <c r="BZ17" s="1">
        <v>3.2309999999999998E-2</v>
      </c>
      <c r="CA17" s="1">
        <v>0</v>
      </c>
      <c r="CB17" s="1">
        <v>4.7940000000000003E-2</v>
      </c>
      <c r="CC17" s="1">
        <v>4.1459999999999997E-2</v>
      </c>
      <c r="CD17" s="1">
        <v>0</v>
      </c>
      <c r="CE17" s="1">
        <v>0</v>
      </c>
      <c r="CF17" s="1">
        <v>0</v>
      </c>
      <c r="CG17" s="1">
        <v>4.4310000000000002E-2</v>
      </c>
      <c r="CH17" s="1">
        <v>0</v>
      </c>
      <c r="CI17" s="1">
        <v>0</v>
      </c>
      <c r="CJ17" s="1">
        <v>3.8739999999999997E-2</v>
      </c>
      <c r="CK17" s="1">
        <v>3.3790000000000001E-2</v>
      </c>
      <c r="CL17" s="1">
        <v>0</v>
      </c>
      <c r="CM17" s="1">
        <v>0</v>
      </c>
      <c r="CN17" s="1">
        <v>0</v>
      </c>
      <c r="CO17" s="1">
        <v>4.6039999999999998E-2</v>
      </c>
      <c r="CP17" s="1">
        <v>4.317E-2</v>
      </c>
      <c r="CQ17" s="1">
        <v>4.444E-2</v>
      </c>
      <c r="CR17" s="1">
        <v>4.5510000000000002E-2</v>
      </c>
      <c r="CS17" s="1">
        <v>0</v>
      </c>
      <c r="CT17" s="1">
        <v>0</v>
      </c>
      <c r="CU17" s="1">
        <v>4.3560000000000001E-2</v>
      </c>
      <c r="CV17" s="1">
        <v>4.4220000000000002E-2</v>
      </c>
      <c r="CW17" s="1">
        <v>0</v>
      </c>
      <c r="CX17" s="1">
        <v>0</v>
      </c>
      <c r="CY17" s="1">
        <v>0</v>
      </c>
      <c r="CZ17" s="1">
        <v>4.82E-2</v>
      </c>
      <c r="DA17" s="1">
        <v>4.2599999999999999E-2</v>
      </c>
      <c r="DB17" s="1">
        <v>3.73E-2</v>
      </c>
      <c r="DC17" s="1">
        <v>4.3799999999999999E-2</v>
      </c>
      <c r="DD17" s="1">
        <v>4.2999999999999997E-2</v>
      </c>
      <c r="DE17" s="1">
        <v>4.48E-2</v>
      </c>
      <c r="DF17" s="1">
        <v>4.3299999999999998E-2</v>
      </c>
      <c r="DG17" s="1">
        <v>4.2900000000000001E-2</v>
      </c>
      <c r="DH17" s="1">
        <v>0</v>
      </c>
      <c r="DI17" s="1">
        <v>0</v>
      </c>
      <c r="DJ17" s="1">
        <v>0</v>
      </c>
      <c r="DK17" s="1">
        <v>0</v>
      </c>
      <c r="DL17" s="1">
        <v>4.2700000000000002E-2</v>
      </c>
      <c r="DM17" s="1">
        <v>4.5100000000000001E-2</v>
      </c>
      <c r="DN17" s="1">
        <v>4.2799999999999998E-2</v>
      </c>
      <c r="DO17" s="1">
        <v>4.5400000000000003E-2</v>
      </c>
      <c r="DP17" s="1">
        <v>4.36E-2</v>
      </c>
      <c r="DQ17" s="1">
        <v>0</v>
      </c>
      <c r="DR17" s="1">
        <v>0</v>
      </c>
      <c r="DS17" s="1">
        <v>4.58E-2</v>
      </c>
      <c r="DT17" s="1">
        <v>0</v>
      </c>
      <c r="DU17" s="1">
        <v>4.5699999999999998E-2</v>
      </c>
      <c r="DV17" s="1">
        <v>4.6100000000000002E-2</v>
      </c>
      <c r="DW17" s="1">
        <v>4.3400000000000001E-2</v>
      </c>
      <c r="DX17" s="1">
        <v>4.3400000000000001E-2</v>
      </c>
      <c r="DY17" s="1">
        <v>0</v>
      </c>
      <c r="DZ17" s="1">
        <v>0</v>
      </c>
    </row>
    <row r="18" spans="1:130" x14ac:dyDescent="0.3">
      <c r="A18" s="2" t="s">
        <v>169</v>
      </c>
      <c r="B18" s="1">
        <v>0</v>
      </c>
      <c r="C18" s="1">
        <v>0</v>
      </c>
      <c r="D18" s="1">
        <v>4.2840000000000003E-2</v>
      </c>
      <c r="E18" s="1">
        <v>0</v>
      </c>
      <c r="F18" s="1">
        <v>0</v>
      </c>
      <c r="G18" s="1">
        <v>0</v>
      </c>
      <c r="H18" s="1">
        <v>0</v>
      </c>
      <c r="I18" s="1">
        <v>4.1090000000000002E-2</v>
      </c>
      <c r="J18" s="1">
        <v>4.7190000000000003E-2</v>
      </c>
      <c r="K18" s="1">
        <v>5.5289999999999999E-2</v>
      </c>
      <c r="L18" s="1">
        <v>0</v>
      </c>
      <c r="M18" s="1">
        <v>4.0969999999999999E-2</v>
      </c>
      <c r="N18" s="1">
        <v>4.2639999999999997E-2</v>
      </c>
      <c r="O18" s="1">
        <v>3.8600000000000002E-2</v>
      </c>
      <c r="P18" s="1">
        <v>4.4519999999999997E-2</v>
      </c>
      <c r="Q18" s="1">
        <v>5.0009999999999999E-2</v>
      </c>
      <c r="R18" s="1">
        <v>5.5840000000000001E-2</v>
      </c>
      <c r="S18" s="1">
        <v>5.0090000000000003E-2</v>
      </c>
      <c r="T18" s="1">
        <v>4.1059999999999999E-2</v>
      </c>
      <c r="U18" s="1">
        <v>4.3909999999999998E-2</v>
      </c>
      <c r="V18" s="1">
        <v>4.3400000000000001E-2</v>
      </c>
      <c r="W18" s="1">
        <v>4.0680000000000001E-2</v>
      </c>
      <c r="X18" s="1">
        <v>4.3450000000000003E-2</v>
      </c>
      <c r="Y18" s="1">
        <v>5.1249999999999997E-2</v>
      </c>
      <c r="Z18" s="1">
        <v>5.0290000000000001E-2</v>
      </c>
      <c r="AA18" s="1">
        <v>5.629E-2</v>
      </c>
      <c r="AB18" s="1">
        <v>0</v>
      </c>
      <c r="AC18" s="1">
        <v>0</v>
      </c>
      <c r="AD18" s="1">
        <v>4.2799999999999998E-2</v>
      </c>
      <c r="AE18" s="1">
        <v>4.4600000000000001E-2</v>
      </c>
      <c r="AF18" s="1">
        <v>0</v>
      </c>
      <c r="AG18" s="1">
        <v>0</v>
      </c>
      <c r="AH18" s="1">
        <v>0</v>
      </c>
      <c r="AI18" s="1">
        <v>4.981E-2</v>
      </c>
      <c r="AJ18" s="1">
        <v>5.5399999999999998E-2</v>
      </c>
      <c r="AK18" s="1">
        <v>4.052E-2</v>
      </c>
      <c r="AL18" s="1">
        <v>4.1239999999999999E-2</v>
      </c>
      <c r="AM18" s="1">
        <v>5.3499999999999999E-2</v>
      </c>
      <c r="AN18" s="1">
        <v>5.0659999999999997E-2</v>
      </c>
      <c r="AO18" s="1">
        <v>4.2799999999999998E-2</v>
      </c>
      <c r="AP18" s="1">
        <v>5.5780000000000003E-2</v>
      </c>
      <c r="AQ18" s="1">
        <v>5.0279999999999998E-2</v>
      </c>
      <c r="AR18" s="1">
        <v>4.9700000000000001E-2</v>
      </c>
      <c r="AS18" s="1">
        <v>4.8439999999999997E-2</v>
      </c>
      <c r="AT18" s="1">
        <v>4.641E-2</v>
      </c>
      <c r="AU18" s="1">
        <v>4.8180000000000001E-2</v>
      </c>
      <c r="AV18" s="1">
        <v>5.3080000000000002E-2</v>
      </c>
      <c r="AW18" s="1">
        <v>4.2549999999999998E-2</v>
      </c>
      <c r="AX18" s="1">
        <v>4.9520000000000002E-2</v>
      </c>
      <c r="AY18" s="1">
        <v>5.6230000000000002E-2</v>
      </c>
      <c r="AZ18" s="1">
        <v>4.9549999999999997E-2</v>
      </c>
      <c r="BA18" s="1">
        <v>5.6140000000000002E-2</v>
      </c>
      <c r="BB18" s="1">
        <v>4.1869999999999997E-2</v>
      </c>
      <c r="BC18" s="1">
        <v>0</v>
      </c>
      <c r="BD18" s="1">
        <v>4.7849999999999997E-2</v>
      </c>
      <c r="BE18" s="1">
        <v>4.9059999999999999E-2</v>
      </c>
      <c r="BF18" s="1">
        <v>4.8329999999999998E-2</v>
      </c>
      <c r="BG18" s="1">
        <v>4.8840000000000001E-2</v>
      </c>
      <c r="BH18" s="1">
        <v>4.7239999999999997E-2</v>
      </c>
      <c r="BI18" s="1">
        <v>4.1709999999999997E-2</v>
      </c>
      <c r="BJ18" s="1">
        <v>4.8750000000000002E-2</v>
      </c>
      <c r="BK18" s="1">
        <v>4.2529999999999998E-2</v>
      </c>
      <c r="BL18" s="1">
        <v>0</v>
      </c>
      <c r="BM18" s="1">
        <v>4.8660000000000002E-2</v>
      </c>
      <c r="BN18" s="1">
        <v>4.1619999999999997E-2</v>
      </c>
      <c r="BO18" s="1">
        <v>3.9730000000000001E-2</v>
      </c>
      <c r="BP18" s="1">
        <v>0</v>
      </c>
      <c r="BQ18" s="1">
        <v>0</v>
      </c>
      <c r="BR18" s="1">
        <v>8.5440000000000002E-2</v>
      </c>
      <c r="BS18" s="1">
        <v>8.2030000000000006E-2</v>
      </c>
      <c r="BT18" s="1">
        <v>4.3360000000000003E-2</v>
      </c>
      <c r="BU18" s="1">
        <v>4.6589999999999999E-2</v>
      </c>
      <c r="BV18" s="1">
        <v>4.2389999999999997E-2</v>
      </c>
      <c r="BW18" s="1">
        <v>0</v>
      </c>
      <c r="BX18" s="1">
        <v>4.0500000000000001E-2</v>
      </c>
      <c r="BY18" s="1">
        <v>4.2569999999999997E-2</v>
      </c>
      <c r="BZ18" s="1">
        <v>0</v>
      </c>
      <c r="CA18" s="1">
        <v>4.1689999999999998E-2</v>
      </c>
      <c r="CB18" s="1">
        <v>0</v>
      </c>
      <c r="CC18" s="1">
        <v>4.095E-2</v>
      </c>
      <c r="CD18" s="1">
        <v>4.1180000000000001E-2</v>
      </c>
      <c r="CE18" s="1">
        <v>4.0500000000000001E-2</v>
      </c>
      <c r="CF18" s="1">
        <v>4.0890000000000003E-2</v>
      </c>
      <c r="CG18" s="1">
        <v>0</v>
      </c>
      <c r="CH18" s="1">
        <v>0</v>
      </c>
      <c r="CI18" s="1">
        <v>4.3299999999999998E-2</v>
      </c>
      <c r="CJ18" s="1">
        <v>0</v>
      </c>
      <c r="CK18" s="1">
        <v>0</v>
      </c>
      <c r="CL18" s="1">
        <v>4.3339999999999997E-2</v>
      </c>
      <c r="CM18" s="1">
        <v>0</v>
      </c>
      <c r="CN18" s="1">
        <v>4.2729999999999997E-2</v>
      </c>
      <c r="CO18" s="1">
        <v>5.3260000000000002E-2</v>
      </c>
      <c r="CP18" s="1">
        <v>4.9860000000000002E-2</v>
      </c>
      <c r="CQ18" s="1">
        <v>5.2810000000000003E-2</v>
      </c>
      <c r="CR18" s="1">
        <v>5.3249999999999999E-2</v>
      </c>
      <c r="CS18" s="1">
        <v>4.0869999999999997E-2</v>
      </c>
      <c r="CT18" s="1">
        <v>4.3389999999999998E-2</v>
      </c>
      <c r="CU18" s="1">
        <v>5.1429999999999997E-2</v>
      </c>
      <c r="CV18" s="1">
        <v>4.8250000000000001E-2</v>
      </c>
      <c r="CW18" s="1">
        <v>4.0770000000000001E-2</v>
      </c>
      <c r="CX18" s="1">
        <v>4.4040000000000003E-2</v>
      </c>
      <c r="CY18" s="1">
        <v>0</v>
      </c>
      <c r="CZ18" s="1">
        <v>5.57E-2</v>
      </c>
      <c r="DA18" s="1">
        <v>5.1499999999999997E-2</v>
      </c>
      <c r="DB18" s="1">
        <v>0</v>
      </c>
      <c r="DC18" s="1">
        <v>4.9000000000000002E-2</v>
      </c>
      <c r="DD18" s="1">
        <v>5.1799999999999999E-2</v>
      </c>
      <c r="DE18" s="1">
        <v>5.5199999999999999E-2</v>
      </c>
      <c r="DF18" s="1">
        <v>4.9099999999999998E-2</v>
      </c>
      <c r="DG18" s="1">
        <v>4.2900000000000001E-2</v>
      </c>
      <c r="DH18" s="1">
        <v>4.2000000000000003E-2</v>
      </c>
      <c r="DI18" s="1">
        <v>4.0399999999999998E-2</v>
      </c>
      <c r="DJ18" s="1">
        <v>4.3200000000000002E-2</v>
      </c>
      <c r="DK18" s="1">
        <v>4.1700000000000001E-2</v>
      </c>
      <c r="DL18" s="1">
        <v>5.2699999999999997E-2</v>
      </c>
      <c r="DM18" s="1">
        <v>4.9700000000000001E-2</v>
      </c>
      <c r="DN18" s="1">
        <v>5.4300000000000001E-2</v>
      </c>
      <c r="DO18" s="1">
        <v>5.4699999999999999E-2</v>
      </c>
      <c r="DP18" s="1">
        <v>5.2499999999999998E-2</v>
      </c>
      <c r="DQ18" s="1">
        <v>4.0500000000000001E-2</v>
      </c>
      <c r="DR18" s="1">
        <v>4.1799999999999997E-2</v>
      </c>
      <c r="DS18" s="1">
        <v>4.87E-2</v>
      </c>
      <c r="DT18" s="1">
        <v>4.5199999999999997E-2</v>
      </c>
      <c r="DU18" s="1">
        <v>4.9700000000000001E-2</v>
      </c>
      <c r="DV18" s="1">
        <v>4.9700000000000001E-2</v>
      </c>
      <c r="DW18" s="1">
        <v>5.3100000000000001E-2</v>
      </c>
      <c r="DX18" s="1">
        <v>5.2400000000000002E-2</v>
      </c>
      <c r="DY18" s="1">
        <v>4.19E-2</v>
      </c>
      <c r="DZ18" s="1">
        <v>4.4200000000000003E-2</v>
      </c>
    </row>
    <row r="19" spans="1:130" x14ac:dyDescent="0.3">
      <c r="A19" s="2" t="s">
        <v>170</v>
      </c>
      <c r="B19" s="1">
        <v>0</v>
      </c>
      <c r="C19" s="1">
        <v>5.5910000000000001E-2</v>
      </c>
      <c r="D19" s="1">
        <v>0</v>
      </c>
      <c r="E19" s="1">
        <v>4.4150000000000002E-2</v>
      </c>
      <c r="F19" s="1">
        <v>5.3170000000000002E-2</v>
      </c>
      <c r="G19" s="1">
        <v>0</v>
      </c>
      <c r="H19" s="1">
        <v>5.3960000000000001E-2</v>
      </c>
      <c r="I19" s="1">
        <v>4.8649999999999999E-2</v>
      </c>
      <c r="J19" s="1">
        <v>0</v>
      </c>
      <c r="K19" s="1">
        <v>6.028E-2</v>
      </c>
      <c r="L19" s="1">
        <v>5.3249999999999999E-2</v>
      </c>
      <c r="M19" s="1">
        <v>4.4990000000000002E-2</v>
      </c>
      <c r="N19" s="1">
        <v>0</v>
      </c>
      <c r="O19" s="1">
        <v>4.335E-2</v>
      </c>
      <c r="P19" s="1">
        <v>0</v>
      </c>
      <c r="Q19" s="1">
        <v>5.042E-2</v>
      </c>
      <c r="R19" s="1">
        <v>5.6469999999999999E-2</v>
      </c>
      <c r="S19" s="1">
        <v>5.0459999999999998E-2</v>
      </c>
      <c r="T19" s="1" t="s">
        <v>160</v>
      </c>
      <c r="U19" s="1">
        <v>4.3020000000000003E-2</v>
      </c>
      <c r="V19" s="1">
        <v>0</v>
      </c>
      <c r="W19" s="1">
        <v>4.6820000000000001E-2</v>
      </c>
      <c r="X19" s="1">
        <v>0</v>
      </c>
      <c r="Y19" s="1">
        <v>5.0360000000000002E-2</v>
      </c>
      <c r="Z19" s="1">
        <v>4.9619999999999997E-2</v>
      </c>
      <c r="AA19" s="1">
        <v>5.7660000000000003E-2</v>
      </c>
      <c r="AB19" s="1">
        <v>0</v>
      </c>
      <c r="AC19" s="1">
        <v>5.6050000000000003E-2</v>
      </c>
      <c r="AD19" s="1">
        <v>0</v>
      </c>
      <c r="AE19" s="1">
        <v>0</v>
      </c>
      <c r="AF19" s="1">
        <v>0</v>
      </c>
      <c r="AG19" s="1">
        <v>5.8450000000000002E-2</v>
      </c>
      <c r="AH19" s="1">
        <v>5.7149999999999999E-2</v>
      </c>
      <c r="AI19" s="1">
        <v>5.1029999999999999E-2</v>
      </c>
      <c r="AJ19" s="1">
        <v>5.525E-2</v>
      </c>
      <c r="AK19" s="1">
        <v>4.147E-2</v>
      </c>
      <c r="AL19" s="1">
        <v>0</v>
      </c>
      <c r="AM19" s="1">
        <v>5.8560000000000001E-2</v>
      </c>
      <c r="AN19" s="1">
        <v>5.3519999999999998E-2</v>
      </c>
      <c r="AO19" s="1">
        <v>4.292E-2</v>
      </c>
      <c r="AP19" s="1">
        <v>5.6800000000000003E-2</v>
      </c>
      <c r="AQ19" s="1">
        <v>5.4050000000000001E-2</v>
      </c>
      <c r="AR19" s="1">
        <v>5.0970000000000001E-2</v>
      </c>
      <c r="AS19" s="1">
        <v>5.0509999999999999E-2</v>
      </c>
      <c r="AT19" s="1">
        <v>4.7289999999999999E-2</v>
      </c>
      <c r="AU19" s="1">
        <v>0</v>
      </c>
      <c r="AV19" s="1">
        <v>5.1959999999999999E-2</v>
      </c>
      <c r="AW19" s="1">
        <v>0</v>
      </c>
      <c r="AX19" s="1">
        <v>5.3719999999999997E-2</v>
      </c>
      <c r="AY19" s="1">
        <v>5.6230000000000002E-2</v>
      </c>
      <c r="AZ19" s="1">
        <v>5.1810000000000002E-2</v>
      </c>
      <c r="BA19" s="1">
        <v>5.4179999999999999E-2</v>
      </c>
      <c r="BB19" s="1">
        <v>4.1239999999999999E-2</v>
      </c>
      <c r="BC19" s="1">
        <v>5.1150000000000001E-2</v>
      </c>
      <c r="BD19" s="1">
        <v>5.083E-2</v>
      </c>
      <c r="BE19" s="1">
        <v>0</v>
      </c>
      <c r="BF19" s="1">
        <v>5.0549999999999998E-2</v>
      </c>
      <c r="BG19" s="1">
        <v>5.3120000000000001E-2</v>
      </c>
      <c r="BH19" s="1">
        <v>5.0049999999999997E-2</v>
      </c>
      <c r="BI19" s="1">
        <v>0</v>
      </c>
      <c r="BJ19" s="1">
        <v>0</v>
      </c>
      <c r="BK19" s="1">
        <v>0</v>
      </c>
      <c r="BL19" s="1">
        <v>4.9610000000000001E-2</v>
      </c>
      <c r="BM19" s="1">
        <v>0</v>
      </c>
      <c r="BN19" s="1">
        <v>4.249E-2</v>
      </c>
      <c r="BO19" s="1">
        <v>0</v>
      </c>
      <c r="BP19" s="1">
        <v>3.8809999999999997E-2</v>
      </c>
      <c r="BQ19" s="1">
        <v>5.7529999999999998E-2</v>
      </c>
      <c r="BR19" s="1">
        <v>6.5240000000000006E-2</v>
      </c>
      <c r="BS19" s="1">
        <v>0</v>
      </c>
      <c r="BT19" s="1">
        <v>4.7940000000000003E-2</v>
      </c>
      <c r="BU19" s="1">
        <v>0</v>
      </c>
      <c r="BV19" s="1">
        <v>3.9949999999999999E-2</v>
      </c>
      <c r="BW19" s="1">
        <v>5.672E-2</v>
      </c>
      <c r="BX19" s="1">
        <v>0</v>
      </c>
      <c r="BY19" s="1" t="s">
        <v>160</v>
      </c>
      <c r="BZ19" s="1">
        <v>4.086E-2</v>
      </c>
      <c r="CA19" s="1">
        <v>0</v>
      </c>
      <c r="CB19" s="1">
        <v>0</v>
      </c>
      <c r="CC19" s="1">
        <v>4.1709999999999997E-2</v>
      </c>
      <c r="CD19" s="1">
        <v>4.3830000000000001E-2</v>
      </c>
      <c r="CE19" s="1">
        <v>0</v>
      </c>
      <c r="CF19" s="1">
        <v>4.861E-2</v>
      </c>
      <c r="CG19" s="1">
        <v>5.7259999999999998E-2</v>
      </c>
      <c r="CH19" s="1">
        <v>4.6530000000000002E-2</v>
      </c>
      <c r="CI19" s="1">
        <v>0</v>
      </c>
      <c r="CJ19" s="1">
        <v>0</v>
      </c>
      <c r="CK19" s="1">
        <v>0</v>
      </c>
      <c r="CL19" s="1">
        <v>4.7059999999999998E-2</v>
      </c>
      <c r="CM19" s="1">
        <v>0</v>
      </c>
      <c r="CN19" s="1">
        <v>0</v>
      </c>
      <c r="CO19" s="1">
        <v>0</v>
      </c>
      <c r="CP19" s="1">
        <v>4.4830000000000002E-2</v>
      </c>
      <c r="CQ19" s="1">
        <v>4.9090000000000002E-2</v>
      </c>
      <c r="CR19" s="1">
        <v>5.015E-2</v>
      </c>
      <c r="CS19" s="1">
        <v>4.0059999999999998E-2</v>
      </c>
      <c r="CT19" s="1" t="s">
        <v>160</v>
      </c>
      <c r="CU19" s="1">
        <v>5.5329999999999997E-2</v>
      </c>
      <c r="CV19" s="1">
        <v>4.9860000000000002E-2</v>
      </c>
      <c r="CW19" s="1">
        <v>4.2639999999999997E-2</v>
      </c>
      <c r="CX19" s="1">
        <v>4.6370000000000001E-2</v>
      </c>
      <c r="CY19" s="1">
        <v>4.4290000000000003E-2</v>
      </c>
      <c r="CZ19" s="1">
        <v>6.3600000000000004E-2</v>
      </c>
      <c r="DA19" s="1">
        <v>5.5300000000000002E-2</v>
      </c>
      <c r="DB19" s="1" t="s">
        <v>160</v>
      </c>
      <c r="DC19" s="1">
        <v>4.9799999999999997E-2</v>
      </c>
      <c r="DD19" s="1">
        <v>5.4199999999999998E-2</v>
      </c>
      <c r="DE19" s="1">
        <v>5.21E-2</v>
      </c>
      <c r="DF19" s="1">
        <v>4.7800000000000002E-2</v>
      </c>
      <c r="DG19" s="1">
        <v>4.6199999999999998E-2</v>
      </c>
      <c r="DH19" s="1">
        <v>4.7E-2</v>
      </c>
      <c r="DI19" s="1">
        <v>4.9500000000000002E-2</v>
      </c>
      <c r="DJ19" s="1">
        <v>3.8600000000000002E-2</v>
      </c>
      <c r="DK19" s="1">
        <v>0</v>
      </c>
      <c r="DL19" s="1">
        <v>4.8599999999999997E-2</v>
      </c>
      <c r="DM19" s="1">
        <v>5.3100000000000001E-2</v>
      </c>
      <c r="DN19" s="1">
        <v>5.3999999999999999E-2</v>
      </c>
      <c r="DO19" s="1">
        <v>5.3900000000000003E-2</v>
      </c>
      <c r="DP19" s="1">
        <v>5.5500000000000001E-2</v>
      </c>
      <c r="DQ19" s="1">
        <v>0</v>
      </c>
      <c r="DR19" s="1">
        <v>0</v>
      </c>
      <c r="DS19" s="1">
        <v>4.8300000000000003E-2</v>
      </c>
      <c r="DT19" s="1">
        <v>0</v>
      </c>
      <c r="DU19" s="1">
        <v>5.5300000000000002E-2</v>
      </c>
      <c r="DV19" s="1">
        <v>5.3199999999999997E-2</v>
      </c>
      <c r="DW19" s="1">
        <v>4.7899999999999998E-2</v>
      </c>
      <c r="DX19" s="1">
        <v>5.4300000000000001E-2</v>
      </c>
      <c r="DY19" s="1">
        <v>4.1700000000000001E-2</v>
      </c>
      <c r="DZ19" s="1">
        <v>4.65E-2</v>
      </c>
    </row>
    <row r="20" spans="1:130" x14ac:dyDescent="0.3">
      <c r="A20" s="2" t="s">
        <v>171</v>
      </c>
      <c r="B20" s="1">
        <v>0.63482000000000005</v>
      </c>
      <c r="C20" s="1">
        <v>0.64041999999999999</v>
      </c>
      <c r="D20" s="1">
        <v>0</v>
      </c>
      <c r="E20" s="1">
        <v>0.51629999999999998</v>
      </c>
      <c r="F20" s="1">
        <v>0.67183999999999999</v>
      </c>
      <c r="G20" s="1">
        <v>0</v>
      </c>
      <c r="H20" s="1">
        <v>0.68354000000000004</v>
      </c>
      <c r="I20" s="1">
        <v>0</v>
      </c>
      <c r="J20" s="1">
        <v>0.60033000000000003</v>
      </c>
      <c r="K20" s="1">
        <v>0.66000999999999999</v>
      </c>
      <c r="L20" s="1">
        <v>0</v>
      </c>
      <c r="M20" s="1">
        <v>0.51612999999999998</v>
      </c>
      <c r="N20" s="1">
        <v>0</v>
      </c>
      <c r="O20" s="1">
        <v>0</v>
      </c>
      <c r="P20" s="1">
        <v>0.52200000000000002</v>
      </c>
      <c r="Q20" s="1">
        <v>0.61236999999999997</v>
      </c>
      <c r="R20" s="1">
        <v>0</v>
      </c>
      <c r="S20" s="1">
        <v>0.63319000000000003</v>
      </c>
      <c r="T20" s="1">
        <v>0.51036999999999999</v>
      </c>
      <c r="U20" s="1">
        <v>0.55925999999999998</v>
      </c>
      <c r="V20" s="1">
        <v>0.59475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0.60145000000000004</v>
      </c>
      <c r="AE20" s="1" t="s">
        <v>160</v>
      </c>
      <c r="AF20" s="1">
        <v>0</v>
      </c>
      <c r="AG20" s="1">
        <v>0.67596000000000001</v>
      </c>
      <c r="AH20" s="1">
        <v>0.61580000000000001</v>
      </c>
      <c r="AI20" s="1">
        <v>0.59540999999999999</v>
      </c>
      <c r="AJ20" s="1">
        <v>0.60772999999999999</v>
      </c>
      <c r="AK20" s="1">
        <v>0.48130000000000001</v>
      </c>
      <c r="AL20" s="1">
        <v>0</v>
      </c>
      <c r="AM20" s="1">
        <v>0</v>
      </c>
      <c r="AN20" s="1">
        <v>0.61563999999999997</v>
      </c>
      <c r="AO20" s="1">
        <v>0.48061999999999999</v>
      </c>
      <c r="AP20" s="1">
        <v>0.57104999999999995</v>
      </c>
      <c r="AQ20" s="1">
        <v>0.58475999999999995</v>
      </c>
      <c r="AR20" s="1">
        <v>0.66718999999999995</v>
      </c>
      <c r="AS20" s="1">
        <v>0.67244000000000004</v>
      </c>
      <c r="AT20" s="1">
        <v>0.65342</v>
      </c>
      <c r="AU20" s="1">
        <v>0</v>
      </c>
      <c r="AV20" s="1">
        <v>0.69269999999999998</v>
      </c>
      <c r="AW20" s="1">
        <v>0.51770000000000005</v>
      </c>
      <c r="AX20" s="1">
        <v>0.56816</v>
      </c>
      <c r="AY20" s="1">
        <v>0.50983999999999996</v>
      </c>
      <c r="AZ20" s="1">
        <v>0</v>
      </c>
      <c r="BA20" s="1">
        <v>0.59760000000000002</v>
      </c>
      <c r="BB20" s="1">
        <v>0</v>
      </c>
      <c r="BC20" s="1">
        <v>0</v>
      </c>
      <c r="BD20" s="1">
        <v>0</v>
      </c>
      <c r="BE20" s="1">
        <v>0</v>
      </c>
      <c r="BF20" s="1">
        <v>0.59782000000000002</v>
      </c>
      <c r="BG20" s="1">
        <v>0.57965</v>
      </c>
      <c r="BH20" s="1">
        <v>0.53627999999999998</v>
      </c>
      <c r="BI20" s="1">
        <v>0</v>
      </c>
      <c r="BJ20" s="1">
        <v>0.65854000000000001</v>
      </c>
      <c r="BK20" s="1">
        <v>0</v>
      </c>
      <c r="BL20" s="1">
        <v>0.68383000000000005</v>
      </c>
      <c r="BM20" s="1">
        <v>0</v>
      </c>
      <c r="BN20" s="1">
        <v>0.56154999999999999</v>
      </c>
      <c r="BO20" s="1">
        <v>0.52905999999999997</v>
      </c>
      <c r="BP20" s="1">
        <v>0</v>
      </c>
      <c r="BQ20" s="1">
        <v>0</v>
      </c>
      <c r="BR20" s="1">
        <v>0.58947000000000005</v>
      </c>
      <c r="BS20" s="1">
        <v>0.66491999999999996</v>
      </c>
      <c r="BT20" s="1">
        <v>0.49548999999999999</v>
      </c>
      <c r="BU20" s="1">
        <v>0.58460999999999996</v>
      </c>
      <c r="BV20" s="1">
        <v>0</v>
      </c>
      <c r="BW20" s="1">
        <v>0.66649000000000003</v>
      </c>
      <c r="BX20" s="1">
        <v>0</v>
      </c>
      <c r="BY20" s="1">
        <v>0.58335999999999999</v>
      </c>
      <c r="BZ20" s="1">
        <v>0</v>
      </c>
      <c r="CA20" s="1">
        <v>0.55288000000000004</v>
      </c>
      <c r="CB20" s="1">
        <v>0.61007999999999996</v>
      </c>
      <c r="CC20" s="1">
        <v>0.54957</v>
      </c>
      <c r="CD20" s="1">
        <v>0</v>
      </c>
      <c r="CE20" s="1">
        <v>0.54125999999999996</v>
      </c>
      <c r="CF20" s="1">
        <v>0.53042</v>
      </c>
      <c r="CG20" s="1">
        <v>0.59138000000000002</v>
      </c>
      <c r="CH20" s="1">
        <v>0</v>
      </c>
      <c r="CI20" s="1">
        <v>0.56816</v>
      </c>
      <c r="CJ20" s="1">
        <v>0</v>
      </c>
      <c r="CK20" s="1">
        <v>0</v>
      </c>
      <c r="CL20" s="1">
        <v>0.53051000000000004</v>
      </c>
      <c r="CM20" s="1">
        <v>0.52961999999999998</v>
      </c>
      <c r="CN20" s="1">
        <v>0</v>
      </c>
      <c r="CO20" s="1">
        <v>0.65944000000000003</v>
      </c>
      <c r="CP20" s="1">
        <v>0</v>
      </c>
      <c r="CQ20" s="1">
        <v>0.64210999999999996</v>
      </c>
      <c r="CR20" s="1">
        <v>0.58413000000000004</v>
      </c>
      <c r="CS20" s="1">
        <v>0</v>
      </c>
      <c r="CT20" s="1">
        <v>0.51546000000000003</v>
      </c>
      <c r="CU20" s="1">
        <v>0</v>
      </c>
      <c r="CV20" s="1">
        <v>0</v>
      </c>
      <c r="CW20" s="1">
        <v>0.53602000000000005</v>
      </c>
      <c r="CX20" s="1">
        <v>0</v>
      </c>
      <c r="CY20" s="1">
        <v>0</v>
      </c>
      <c r="CZ20" s="1">
        <v>0.62819999999999998</v>
      </c>
      <c r="DA20" s="1">
        <v>0.59519999999999995</v>
      </c>
      <c r="DB20" s="1">
        <v>0</v>
      </c>
      <c r="DC20" s="1">
        <v>0.58289999999999997</v>
      </c>
      <c r="DD20" s="1">
        <v>0</v>
      </c>
      <c r="DE20" s="1">
        <v>0.61919999999999997</v>
      </c>
      <c r="DF20" s="1">
        <v>0</v>
      </c>
      <c r="DG20" s="1">
        <v>0.53610000000000002</v>
      </c>
      <c r="DH20" s="1">
        <v>0.54239999999999999</v>
      </c>
      <c r="DI20" s="1">
        <v>0</v>
      </c>
      <c r="DJ20" s="1">
        <v>0</v>
      </c>
      <c r="DK20" s="1">
        <v>0</v>
      </c>
      <c r="DL20" s="1">
        <v>0.57589999999999997</v>
      </c>
      <c r="DM20" s="1">
        <v>0</v>
      </c>
      <c r="DN20" s="1">
        <v>0.59640000000000004</v>
      </c>
      <c r="DO20" s="1">
        <v>0</v>
      </c>
      <c r="DP20" s="1">
        <v>0.61980000000000002</v>
      </c>
      <c r="DQ20" s="1">
        <v>0.52539999999999998</v>
      </c>
      <c r="DR20" s="1">
        <v>0.52139999999999997</v>
      </c>
      <c r="DS20" s="1">
        <v>0</v>
      </c>
      <c r="DT20" s="1">
        <v>0.56630000000000003</v>
      </c>
      <c r="DU20" s="1">
        <v>0</v>
      </c>
      <c r="DV20" s="1">
        <v>0.61599999999999999</v>
      </c>
      <c r="DW20" s="1">
        <v>0.55410000000000004</v>
      </c>
      <c r="DX20" s="1">
        <v>0.61909999999999998</v>
      </c>
      <c r="DY20" s="1">
        <v>0.58220000000000005</v>
      </c>
      <c r="DZ20" s="1">
        <v>0</v>
      </c>
    </row>
    <row r="21" spans="1:130" x14ac:dyDescent="0.3">
      <c r="A21" s="2" t="s">
        <v>172</v>
      </c>
      <c r="B21" s="1">
        <v>0.29604000000000003</v>
      </c>
      <c r="C21" s="1">
        <v>0.25290000000000001</v>
      </c>
      <c r="D21" s="1">
        <v>0.23243</v>
      </c>
      <c r="E21" s="1">
        <v>0.22986999999999999</v>
      </c>
      <c r="F21" s="1">
        <v>0.30337999999999998</v>
      </c>
      <c r="G21" s="1">
        <v>0.29888999999999999</v>
      </c>
      <c r="H21" s="1">
        <v>0.29107</v>
      </c>
      <c r="I21" s="1">
        <v>0</v>
      </c>
      <c r="J21" s="1">
        <v>0</v>
      </c>
      <c r="K21" s="1">
        <v>0.25169999999999998</v>
      </c>
      <c r="L21" s="1">
        <v>0.28072999999999998</v>
      </c>
      <c r="M21" s="1" t="s">
        <v>160</v>
      </c>
      <c r="N21" s="1">
        <v>0</v>
      </c>
      <c r="O21" s="1">
        <v>0</v>
      </c>
      <c r="P21" s="1">
        <v>0</v>
      </c>
      <c r="Q21" s="1">
        <v>0.25971</v>
      </c>
      <c r="R21" s="1">
        <v>0.26595000000000002</v>
      </c>
      <c r="S21" s="1">
        <v>0.22567999999999999</v>
      </c>
      <c r="T21" s="1">
        <v>0</v>
      </c>
      <c r="U21" s="1">
        <v>0.20197999999999999</v>
      </c>
      <c r="V21" s="1">
        <v>0.22395000000000001</v>
      </c>
      <c r="W21" s="1">
        <v>0.20762</v>
      </c>
      <c r="X21" s="1">
        <v>0.17512</v>
      </c>
      <c r="Y21" s="1">
        <v>0.24903</v>
      </c>
      <c r="Z21" s="1">
        <v>0.22420999999999999</v>
      </c>
      <c r="AA21" s="1">
        <v>0.29000999999999999</v>
      </c>
      <c r="AB21" s="1">
        <v>0.23452000000000001</v>
      </c>
      <c r="AC21" s="1">
        <v>0.29353000000000001</v>
      </c>
      <c r="AD21" s="1">
        <v>0</v>
      </c>
      <c r="AE21" s="1">
        <v>0.2177</v>
      </c>
      <c r="AF21" s="1">
        <v>0.19838</v>
      </c>
      <c r="AG21" s="1">
        <v>0.25263999999999998</v>
      </c>
      <c r="AH21" s="1">
        <v>0.26345000000000002</v>
      </c>
      <c r="AI21" s="1">
        <v>0.27038000000000001</v>
      </c>
      <c r="AJ21" s="1">
        <v>0.23613000000000001</v>
      </c>
      <c r="AK21" s="1">
        <v>0</v>
      </c>
      <c r="AL21" s="1">
        <v>0.21598000000000001</v>
      </c>
      <c r="AM21" s="1">
        <v>0.22994000000000001</v>
      </c>
      <c r="AN21" s="1">
        <v>0.26523999999999998</v>
      </c>
      <c r="AO21" s="1">
        <v>0.22322</v>
      </c>
      <c r="AP21" s="1">
        <v>0.24243999999999999</v>
      </c>
      <c r="AQ21" s="1">
        <v>0.23652999999999999</v>
      </c>
      <c r="AR21" s="1">
        <v>0.30408000000000002</v>
      </c>
      <c r="AS21" s="1">
        <v>0.29353000000000001</v>
      </c>
      <c r="AT21" s="1">
        <v>0.25492999999999999</v>
      </c>
      <c r="AU21" s="1">
        <v>0.22645000000000001</v>
      </c>
      <c r="AV21" s="1">
        <v>0.25718000000000002</v>
      </c>
      <c r="AW21" s="1">
        <v>0</v>
      </c>
      <c r="AX21" s="1">
        <v>0.28927999999999998</v>
      </c>
      <c r="AY21" s="1">
        <v>0.24229000000000001</v>
      </c>
      <c r="AZ21" s="1">
        <v>0.20957000000000001</v>
      </c>
      <c r="BA21" s="1">
        <v>0.22935</v>
      </c>
      <c r="BB21" s="1">
        <v>0.2175</v>
      </c>
      <c r="BC21" s="1">
        <v>0.26552999999999999</v>
      </c>
      <c r="BD21" s="1">
        <v>0.28946</v>
      </c>
      <c r="BE21" s="1">
        <v>0.24471000000000001</v>
      </c>
      <c r="BF21" s="1">
        <v>0.26489000000000001</v>
      </c>
      <c r="BG21" s="1">
        <v>0.24218000000000001</v>
      </c>
      <c r="BH21" s="1">
        <v>0.24274000000000001</v>
      </c>
      <c r="BI21" s="1">
        <v>0</v>
      </c>
      <c r="BJ21" s="1">
        <v>0</v>
      </c>
      <c r="BK21" s="1">
        <v>0</v>
      </c>
      <c r="BL21" s="1">
        <v>0.24482999999999999</v>
      </c>
      <c r="BM21" s="1">
        <v>0.25952999999999998</v>
      </c>
      <c r="BN21" s="1">
        <v>0.23799999999999999</v>
      </c>
      <c r="BO21" s="1">
        <v>0</v>
      </c>
      <c r="BP21" s="1">
        <v>0</v>
      </c>
      <c r="BQ21" s="1">
        <v>0.27357999999999999</v>
      </c>
      <c r="BR21" s="1">
        <v>0.23959</v>
      </c>
      <c r="BS21" s="1">
        <v>0</v>
      </c>
      <c r="BT21" s="1">
        <v>0</v>
      </c>
      <c r="BU21" s="1">
        <v>0.20856</v>
      </c>
      <c r="BV21" s="1">
        <v>0.22227</v>
      </c>
      <c r="BW21" s="1">
        <v>0.25402000000000002</v>
      </c>
      <c r="BX21" s="1">
        <v>0</v>
      </c>
      <c r="BY21" s="1">
        <v>0</v>
      </c>
      <c r="BZ21" s="1">
        <v>0.23094000000000001</v>
      </c>
      <c r="CA21" s="1">
        <v>0</v>
      </c>
      <c r="CB21" s="1">
        <v>0.22620000000000001</v>
      </c>
      <c r="CC21" s="1">
        <v>0.24893000000000001</v>
      </c>
      <c r="CD21" s="1">
        <v>0</v>
      </c>
      <c r="CE21" s="1">
        <v>0</v>
      </c>
      <c r="CF21" s="1">
        <v>0.20016</v>
      </c>
      <c r="CG21" s="1">
        <v>0.23902000000000001</v>
      </c>
      <c r="CH21" s="1">
        <v>0</v>
      </c>
      <c r="CI21" s="1">
        <v>0.24556</v>
      </c>
      <c r="CJ21" s="1">
        <v>0</v>
      </c>
      <c r="CK21" s="1">
        <v>0</v>
      </c>
      <c r="CL21" s="1">
        <v>0</v>
      </c>
      <c r="CM21" s="1">
        <v>0.2155</v>
      </c>
      <c r="CN21" s="1">
        <v>0</v>
      </c>
      <c r="CO21" s="1">
        <v>0.26945999999999998</v>
      </c>
      <c r="CP21" s="1">
        <v>0.23188</v>
      </c>
      <c r="CQ21" s="1">
        <v>0.24104</v>
      </c>
      <c r="CR21" s="1">
        <v>0.24662000000000001</v>
      </c>
      <c r="CS21" s="1">
        <v>0</v>
      </c>
      <c r="CT21" s="1">
        <v>0.22936000000000001</v>
      </c>
      <c r="CU21" s="1">
        <v>0.27688000000000001</v>
      </c>
      <c r="CV21" s="1">
        <v>0.26511000000000001</v>
      </c>
      <c r="CW21" s="1">
        <v>0.23537</v>
      </c>
      <c r="CX21" s="1">
        <v>0.18842999999999999</v>
      </c>
      <c r="CY21" s="1">
        <v>0.18956000000000001</v>
      </c>
      <c r="CZ21" s="1">
        <v>0.26490000000000002</v>
      </c>
      <c r="DA21" s="1">
        <v>0.25380000000000003</v>
      </c>
      <c r="DB21" s="1">
        <v>0.28920000000000001</v>
      </c>
      <c r="DC21" s="1">
        <v>0.20899999999999999</v>
      </c>
      <c r="DD21" s="1">
        <v>0.24340000000000001</v>
      </c>
      <c r="DE21" s="1">
        <v>0.27689999999999998</v>
      </c>
      <c r="DF21" s="1">
        <v>0.26919999999999999</v>
      </c>
      <c r="DG21" s="1">
        <v>0.21329999999999999</v>
      </c>
      <c r="DH21" s="1">
        <v>0.1996</v>
      </c>
      <c r="DI21" s="1">
        <v>0.25119999999999998</v>
      </c>
      <c r="DJ21" s="1">
        <v>0</v>
      </c>
      <c r="DK21" s="1">
        <v>0</v>
      </c>
      <c r="DL21" s="1">
        <v>0.22359999999999999</v>
      </c>
      <c r="DM21" s="1">
        <v>0.21579999999999999</v>
      </c>
      <c r="DN21" s="1">
        <v>0.26619999999999999</v>
      </c>
      <c r="DO21" s="1">
        <v>0.22359999999999999</v>
      </c>
      <c r="DP21" s="1">
        <v>0.23719999999999999</v>
      </c>
      <c r="DQ21" s="1">
        <v>0.2389</v>
      </c>
      <c r="DR21" s="1">
        <v>0</v>
      </c>
      <c r="DS21" s="1">
        <v>0.2452</v>
      </c>
      <c r="DT21" s="1">
        <v>0.19739999999999999</v>
      </c>
      <c r="DU21" s="1">
        <v>0.23960000000000001</v>
      </c>
      <c r="DV21" s="1">
        <v>0.21690000000000001</v>
      </c>
      <c r="DW21" s="1">
        <v>0.23119999999999999</v>
      </c>
      <c r="DX21" s="1">
        <v>0.2029</v>
      </c>
      <c r="DY21" s="1">
        <v>0.21410000000000001</v>
      </c>
      <c r="DZ21" s="1">
        <v>0</v>
      </c>
    </row>
    <row r="22" spans="1:130" x14ac:dyDescent="0.3">
      <c r="A22" s="2" t="s">
        <v>173</v>
      </c>
      <c r="B22" s="1">
        <v>0.25691999999999998</v>
      </c>
      <c r="C22" s="1">
        <v>0.24776999999999999</v>
      </c>
      <c r="D22" s="1">
        <v>0</v>
      </c>
      <c r="E22" s="1" t="s">
        <v>160</v>
      </c>
      <c r="F22" s="1">
        <v>0.30048999999999998</v>
      </c>
      <c r="G22" s="1">
        <v>0.28188000000000002</v>
      </c>
      <c r="H22" s="1">
        <v>0.25978000000000001</v>
      </c>
      <c r="I22" s="1">
        <v>0</v>
      </c>
      <c r="J22" s="1">
        <v>0</v>
      </c>
      <c r="K22" s="1">
        <v>0.25257000000000002</v>
      </c>
      <c r="L22" s="1">
        <v>0.23996000000000001</v>
      </c>
      <c r="M22" s="1">
        <v>0.20763000000000001</v>
      </c>
      <c r="N22" s="1">
        <v>0</v>
      </c>
      <c r="O22" s="1" t="s">
        <v>160</v>
      </c>
      <c r="P22" s="1">
        <v>0</v>
      </c>
      <c r="Q22" s="1">
        <v>0.26068999999999998</v>
      </c>
      <c r="R22" s="1">
        <v>0.23311000000000001</v>
      </c>
      <c r="S22" s="1">
        <v>0.23368</v>
      </c>
      <c r="T22" s="1">
        <v>0</v>
      </c>
      <c r="U22" s="1">
        <v>0.17462</v>
      </c>
      <c r="V22" s="1">
        <v>0.18856999999999999</v>
      </c>
      <c r="W22" s="1">
        <v>0.20152</v>
      </c>
      <c r="X22" s="1">
        <v>0</v>
      </c>
      <c r="Y22" s="1">
        <v>0.28503000000000001</v>
      </c>
      <c r="Z22" s="1">
        <v>0.22764000000000001</v>
      </c>
      <c r="AA22" s="1">
        <v>0.27782000000000001</v>
      </c>
      <c r="AB22" s="1">
        <v>0.28926000000000002</v>
      </c>
      <c r="AC22" s="1">
        <v>0.23391000000000001</v>
      </c>
      <c r="AD22" s="1">
        <v>0.20965</v>
      </c>
      <c r="AE22" s="1">
        <v>0.20910000000000001</v>
      </c>
      <c r="AF22" s="1">
        <v>0</v>
      </c>
      <c r="AG22" s="1">
        <v>0.28889999999999999</v>
      </c>
      <c r="AH22" s="1">
        <v>0.26589000000000002</v>
      </c>
      <c r="AI22" s="1">
        <v>0.27337</v>
      </c>
      <c r="AJ22" s="1">
        <v>0.20666999999999999</v>
      </c>
      <c r="AK22" s="1">
        <v>0</v>
      </c>
      <c r="AL22" s="1">
        <v>0.18736</v>
      </c>
      <c r="AM22" s="1">
        <v>0.21293000000000001</v>
      </c>
      <c r="AN22" s="1">
        <v>0.23402999999999999</v>
      </c>
      <c r="AO22" s="1">
        <v>0.19494</v>
      </c>
      <c r="AP22" s="1">
        <v>0.23422999999999999</v>
      </c>
      <c r="AQ22" s="1">
        <v>0.25616</v>
      </c>
      <c r="AR22" s="1">
        <v>0.26965</v>
      </c>
      <c r="AS22" s="1">
        <v>0.22112000000000001</v>
      </c>
      <c r="AT22" s="1">
        <v>0.2291</v>
      </c>
      <c r="AU22" s="1">
        <v>0</v>
      </c>
      <c r="AV22" s="1">
        <v>0.27349000000000001</v>
      </c>
      <c r="AW22" s="1">
        <v>0.16220999999999999</v>
      </c>
      <c r="AX22" s="1">
        <v>0.28048000000000001</v>
      </c>
      <c r="AY22" s="1">
        <v>0.20033999999999999</v>
      </c>
      <c r="AZ22" s="1">
        <v>0.27171000000000001</v>
      </c>
      <c r="BA22" s="1">
        <v>0.25780999999999998</v>
      </c>
      <c r="BB22" s="1">
        <v>0.20277000000000001</v>
      </c>
      <c r="BC22" s="1">
        <v>0.27566000000000002</v>
      </c>
      <c r="BD22" s="1">
        <v>0.24385999999999999</v>
      </c>
      <c r="BE22" s="1">
        <v>0.26238</v>
      </c>
      <c r="BF22" s="1">
        <v>0.27685999999999999</v>
      </c>
      <c r="BG22" s="1">
        <v>0.23794000000000001</v>
      </c>
      <c r="BH22" s="1">
        <v>0.25641999999999998</v>
      </c>
      <c r="BI22" s="1">
        <v>0</v>
      </c>
      <c r="BJ22" s="1">
        <v>0</v>
      </c>
      <c r="BK22" s="1">
        <v>0.16581000000000001</v>
      </c>
      <c r="BL22" s="1">
        <v>0.28084999999999999</v>
      </c>
      <c r="BM22" s="1">
        <v>0.26189000000000001</v>
      </c>
      <c r="BN22" s="1">
        <v>0.19434000000000001</v>
      </c>
      <c r="BO22" s="1">
        <v>0.19996</v>
      </c>
      <c r="BP22" s="1">
        <v>0</v>
      </c>
      <c r="BQ22" s="1">
        <v>0.26406000000000002</v>
      </c>
      <c r="BR22" s="1">
        <v>0.25845000000000001</v>
      </c>
      <c r="BS22" s="1">
        <v>0.22020000000000001</v>
      </c>
      <c r="BT22" s="1">
        <v>0.26164999999999999</v>
      </c>
      <c r="BU22" s="1">
        <v>0</v>
      </c>
      <c r="BV22" s="1">
        <v>0.20713999999999999</v>
      </c>
      <c r="BW22" s="1">
        <v>0.25122</v>
      </c>
      <c r="BX22" s="1">
        <v>0</v>
      </c>
      <c r="BY22" s="1">
        <v>0.20841999999999999</v>
      </c>
      <c r="BZ22" s="1">
        <v>0.19187000000000001</v>
      </c>
      <c r="CA22" s="1">
        <v>0.20241000000000001</v>
      </c>
      <c r="CB22" s="1">
        <v>0.25139</v>
      </c>
      <c r="CC22" s="1">
        <v>0.19972999999999999</v>
      </c>
      <c r="CD22" s="1">
        <v>0.20066000000000001</v>
      </c>
      <c r="CE22" s="1">
        <v>0</v>
      </c>
      <c r="CF22" s="1">
        <v>0</v>
      </c>
      <c r="CG22" s="1">
        <v>0.25994</v>
      </c>
      <c r="CH22" s="1">
        <v>0.20699999999999999</v>
      </c>
      <c r="CI22" s="1">
        <v>0</v>
      </c>
      <c r="CJ22" s="1">
        <v>0.19303000000000001</v>
      </c>
      <c r="CK22" s="1">
        <v>0.22004000000000001</v>
      </c>
      <c r="CL22" s="1">
        <v>0.1694</v>
      </c>
      <c r="CM22" s="1">
        <v>0.17113999999999999</v>
      </c>
      <c r="CN22" s="1">
        <v>0</v>
      </c>
      <c r="CO22" s="1">
        <v>0.24912999999999999</v>
      </c>
      <c r="CP22" s="1">
        <v>0.25139</v>
      </c>
      <c r="CQ22" s="1">
        <v>0.26055</v>
      </c>
      <c r="CR22" s="1">
        <v>0.22198999999999999</v>
      </c>
      <c r="CS22" s="1">
        <v>0</v>
      </c>
      <c r="CT22" s="1">
        <v>0</v>
      </c>
      <c r="CU22" s="1">
        <v>0.24967</v>
      </c>
      <c r="CV22" s="1">
        <v>0.22611999999999999</v>
      </c>
      <c r="CW22" s="1">
        <v>0</v>
      </c>
      <c r="CX22" s="1">
        <v>0.20655999999999999</v>
      </c>
      <c r="CY22" s="1">
        <v>0</v>
      </c>
      <c r="CZ22" s="1">
        <v>0.25990000000000002</v>
      </c>
      <c r="DA22" s="1">
        <v>0.2293</v>
      </c>
      <c r="DB22" s="1">
        <v>0.2278</v>
      </c>
      <c r="DC22" s="1">
        <v>0.24729999999999999</v>
      </c>
      <c r="DD22" s="1">
        <v>0.2281</v>
      </c>
      <c r="DE22" s="1">
        <v>0.2344</v>
      </c>
      <c r="DF22" s="1">
        <v>0.24740000000000001</v>
      </c>
      <c r="DG22" s="1">
        <v>0.20569999999999999</v>
      </c>
      <c r="DH22" s="1">
        <v>0</v>
      </c>
      <c r="DI22" s="1">
        <v>0</v>
      </c>
      <c r="DJ22" s="1">
        <v>0</v>
      </c>
      <c r="DK22" s="1">
        <v>0</v>
      </c>
      <c r="DL22" s="1">
        <v>0.2349</v>
      </c>
      <c r="DM22" s="1">
        <v>0.25600000000000001</v>
      </c>
      <c r="DN22" s="1">
        <v>0.25319999999999998</v>
      </c>
      <c r="DO22" s="1">
        <v>0.27679999999999999</v>
      </c>
      <c r="DP22" s="1">
        <v>0.245</v>
      </c>
      <c r="DQ22" s="1">
        <v>0.21540000000000001</v>
      </c>
      <c r="DR22" s="1">
        <v>0</v>
      </c>
      <c r="DS22" s="1">
        <v>0.2591</v>
      </c>
      <c r="DT22" s="1">
        <v>0.2064</v>
      </c>
      <c r="DU22" s="1">
        <v>0.21609999999999999</v>
      </c>
      <c r="DV22" s="1">
        <v>0.24879999999999999</v>
      </c>
      <c r="DW22" s="1">
        <v>0.23569999999999999</v>
      </c>
      <c r="DX22" s="1">
        <v>0.2472</v>
      </c>
      <c r="DY22" s="1">
        <v>0</v>
      </c>
      <c r="DZ22" s="1">
        <v>0.21299999999999999</v>
      </c>
    </row>
    <row r="23" spans="1:130" x14ac:dyDescent="0.3">
      <c r="A23" s="2" t="s">
        <v>174</v>
      </c>
      <c r="B23" s="1">
        <v>0.24301</v>
      </c>
      <c r="C23" s="1">
        <v>0.24068000000000001</v>
      </c>
      <c r="D23" s="1">
        <v>0.18823999999999999</v>
      </c>
      <c r="E23" s="1">
        <v>0</v>
      </c>
      <c r="F23" s="1">
        <v>0.25616</v>
      </c>
      <c r="G23" s="1">
        <v>0.26036999999999999</v>
      </c>
      <c r="H23" s="1">
        <v>0.24692</v>
      </c>
      <c r="I23" s="1">
        <v>0.18604000000000001</v>
      </c>
      <c r="J23" s="1">
        <v>0</v>
      </c>
      <c r="K23" s="1">
        <v>0.26002999999999998</v>
      </c>
      <c r="L23" s="1">
        <v>0.24077000000000001</v>
      </c>
      <c r="M23" s="1">
        <v>0</v>
      </c>
      <c r="N23" s="1">
        <v>0.19366</v>
      </c>
      <c r="O23" s="1">
        <v>0.17829999999999999</v>
      </c>
      <c r="P23" s="1">
        <v>0</v>
      </c>
      <c r="Q23" s="1">
        <v>0.21214</v>
      </c>
      <c r="R23" s="1">
        <v>0.23208999999999999</v>
      </c>
      <c r="S23" s="1">
        <v>0.22103</v>
      </c>
      <c r="T23" s="1">
        <v>0</v>
      </c>
      <c r="U23" s="1">
        <v>0</v>
      </c>
      <c r="V23" s="1">
        <v>0</v>
      </c>
      <c r="W23" s="1">
        <v>0</v>
      </c>
      <c r="X23" s="1">
        <v>0.19819000000000001</v>
      </c>
      <c r="Y23" s="1">
        <v>0.22297</v>
      </c>
      <c r="Z23" s="1">
        <v>0.22619</v>
      </c>
      <c r="AA23" s="1">
        <v>0.24704999999999999</v>
      </c>
      <c r="AB23" s="1">
        <v>0.25098999999999999</v>
      </c>
      <c r="AC23" s="1">
        <v>0.25037999999999999</v>
      </c>
      <c r="AD23" s="1">
        <v>0</v>
      </c>
      <c r="AE23" s="1">
        <v>0.19155</v>
      </c>
      <c r="AF23" s="1">
        <v>0</v>
      </c>
      <c r="AG23" s="1">
        <v>0.26350000000000001</v>
      </c>
      <c r="AH23" s="1">
        <v>0.25191000000000002</v>
      </c>
      <c r="AI23" s="1">
        <v>0.22631000000000001</v>
      </c>
      <c r="AJ23" s="1">
        <v>0.20724000000000001</v>
      </c>
      <c r="AK23" s="1">
        <v>0</v>
      </c>
      <c r="AL23" s="1">
        <v>0</v>
      </c>
      <c r="AM23" s="1">
        <v>0.20294999999999999</v>
      </c>
      <c r="AN23" s="1">
        <v>0.22008</v>
      </c>
      <c r="AO23" s="1">
        <v>0.1605</v>
      </c>
      <c r="AP23" s="1">
        <v>0.20909</v>
      </c>
      <c r="AQ23" s="1">
        <v>0.21715999999999999</v>
      </c>
      <c r="AR23" s="1">
        <v>0</v>
      </c>
      <c r="AS23" s="1">
        <v>0.25557000000000002</v>
      </c>
      <c r="AT23" s="1">
        <v>0.22131999999999999</v>
      </c>
      <c r="AU23" s="1">
        <v>0</v>
      </c>
      <c r="AV23" s="1">
        <v>0</v>
      </c>
      <c r="AW23" s="1">
        <v>0</v>
      </c>
      <c r="AX23" s="1">
        <v>0.21726999999999999</v>
      </c>
      <c r="AY23" s="1">
        <v>0.20634</v>
      </c>
      <c r="AZ23" s="1">
        <v>0.22931000000000001</v>
      </c>
      <c r="BA23" s="1">
        <v>0.21199999999999999</v>
      </c>
      <c r="BB23" s="1">
        <v>0.18769</v>
      </c>
      <c r="BC23" s="1">
        <v>0.26168999999999998</v>
      </c>
      <c r="BD23" s="1">
        <v>0</v>
      </c>
      <c r="BE23" s="1">
        <v>0.24156</v>
      </c>
      <c r="BF23" s="1">
        <v>0.22531999999999999</v>
      </c>
      <c r="BG23" s="1">
        <v>0.22094</v>
      </c>
      <c r="BH23" s="1">
        <v>0.21754000000000001</v>
      </c>
      <c r="BI23" s="1">
        <v>0</v>
      </c>
      <c r="BJ23" s="1">
        <v>0</v>
      </c>
      <c r="BK23" s="1">
        <v>0</v>
      </c>
      <c r="BL23" s="1">
        <v>0.25624999999999998</v>
      </c>
      <c r="BM23" s="1">
        <v>0</v>
      </c>
      <c r="BN23" s="1">
        <v>0.19641</v>
      </c>
      <c r="BO23" s="1">
        <v>0</v>
      </c>
      <c r="BP23" s="1">
        <v>0.1923</v>
      </c>
      <c r="BQ23" s="1">
        <v>0.24678</v>
      </c>
      <c r="BR23" s="1">
        <v>0.22914999999999999</v>
      </c>
      <c r="BS23" s="1">
        <v>0.22950000000000001</v>
      </c>
      <c r="BT23" s="1">
        <v>0.19228999999999999</v>
      </c>
      <c r="BU23" s="1">
        <v>0.19208</v>
      </c>
      <c r="BV23" s="1">
        <v>0</v>
      </c>
      <c r="BW23" s="1">
        <v>0.24907000000000001</v>
      </c>
      <c r="BX23" s="1">
        <v>0.18221000000000001</v>
      </c>
      <c r="BY23" s="1">
        <v>0.19234999999999999</v>
      </c>
      <c r="BZ23" s="1">
        <v>0.18015999999999999</v>
      </c>
      <c r="CA23" s="1">
        <v>0.19666</v>
      </c>
      <c r="CB23" s="1">
        <v>0.20141999999999999</v>
      </c>
      <c r="CC23" s="1">
        <v>0.18382000000000001</v>
      </c>
      <c r="CD23" s="1">
        <v>0.19111</v>
      </c>
      <c r="CE23" s="1">
        <v>0.18769</v>
      </c>
      <c r="CF23" s="1">
        <v>0.20047000000000001</v>
      </c>
      <c r="CG23" s="1">
        <v>0.23588999999999999</v>
      </c>
      <c r="CH23" s="1">
        <v>0</v>
      </c>
      <c r="CI23" s="1">
        <v>0</v>
      </c>
      <c r="CJ23" s="1">
        <v>0.19195000000000001</v>
      </c>
      <c r="CK23" s="1">
        <v>0</v>
      </c>
      <c r="CL23" s="1">
        <v>0</v>
      </c>
      <c r="CM23" s="1">
        <v>0</v>
      </c>
      <c r="CN23" s="1">
        <v>0.18493999999999999</v>
      </c>
      <c r="CO23" s="1">
        <v>0.25996000000000002</v>
      </c>
      <c r="CP23" s="1">
        <v>0.20363000000000001</v>
      </c>
      <c r="CQ23" s="1">
        <v>0.24171000000000001</v>
      </c>
      <c r="CR23" s="1">
        <v>0.20247999999999999</v>
      </c>
      <c r="CS23" s="1">
        <v>0</v>
      </c>
      <c r="CT23" s="1">
        <v>0</v>
      </c>
      <c r="CU23" s="1">
        <v>0.23871999999999999</v>
      </c>
      <c r="CV23" s="1">
        <v>0.22217000000000001</v>
      </c>
      <c r="CW23" s="1">
        <v>0.18428</v>
      </c>
      <c r="CX23" s="1">
        <v>0</v>
      </c>
      <c r="CY23" s="1">
        <v>0</v>
      </c>
      <c r="CZ23" s="1">
        <v>0.24940000000000001</v>
      </c>
      <c r="DA23" s="1">
        <v>0.22389999999999999</v>
      </c>
      <c r="DB23" s="1">
        <v>0.20499999999999999</v>
      </c>
      <c r="DC23" s="1">
        <v>0.22409999999999999</v>
      </c>
      <c r="DD23" s="1">
        <v>0.24310000000000001</v>
      </c>
      <c r="DE23" s="1">
        <v>0.18870000000000001</v>
      </c>
      <c r="DF23" s="1">
        <v>0.23069999999999999</v>
      </c>
      <c r="DG23" s="1">
        <v>0.19489999999999999</v>
      </c>
      <c r="DH23" s="1">
        <v>0</v>
      </c>
      <c r="DI23" s="1">
        <v>0</v>
      </c>
      <c r="DJ23" s="1">
        <v>0.18490000000000001</v>
      </c>
      <c r="DK23" s="1">
        <v>0.1893</v>
      </c>
      <c r="DL23" s="1">
        <v>0.21</v>
      </c>
      <c r="DM23" s="1">
        <v>0.24970000000000001</v>
      </c>
      <c r="DN23" s="1">
        <v>0.2097</v>
      </c>
      <c r="DO23" s="1">
        <v>0.2039</v>
      </c>
      <c r="DP23" s="1">
        <v>0.20030000000000001</v>
      </c>
      <c r="DQ23" s="1">
        <v>0</v>
      </c>
      <c r="DR23" s="1">
        <v>0</v>
      </c>
      <c r="DS23" s="1">
        <v>0.24640000000000001</v>
      </c>
      <c r="DT23" s="1">
        <v>0.19189999999999999</v>
      </c>
      <c r="DU23" s="1">
        <v>0.23619999999999999</v>
      </c>
      <c r="DV23" s="1">
        <v>0.2132</v>
      </c>
      <c r="DW23" s="1">
        <v>0.215</v>
      </c>
      <c r="DX23" s="1">
        <v>0.19900000000000001</v>
      </c>
      <c r="DY23" s="1">
        <v>0</v>
      </c>
      <c r="DZ23" s="1">
        <v>0</v>
      </c>
    </row>
    <row r="24" spans="1:130" x14ac:dyDescent="0.3">
      <c r="A24" s="2" t="s">
        <v>175</v>
      </c>
      <c r="B24" s="1">
        <v>0.17859</v>
      </c>
      <c r="C24" s="1">
        <v>0.16259000000000001</v>
      </c>
      <c r="D24" s="1">
        <v>0</v>
      </c>
      <c r="E24" s="1">
        <v>0</v>
      </c>
      <c r="F24" s="1">
        <v>0.17063</v>
      </c>
      <c r="G24" s="1">
        <v>0.18126999999999999</v>
      </c>
      <c r="H24" s="1">
        <v>0.16800999999999999</v>
      </c>
      <c r="I24" s="1">
        <v>0.11658</v>
      </c>
      <c r="J24" s="1">
        <v>0</v>
      </c>
      <c r="K24" s="1">
        <v>0.1777</v>
      </c>
      <c r="L24" s="1">
        <v>0.17660000000000001</v>
      </c>
      <c r="M24" s="1">
        <v>0</v>
      </c>
      <c r="N24" s="1">
        <v>0</v>
      </c>
      <c r="O24" s="1">
        <v>0</v>
      </c>
      <c r="P24" s="1">
        <v>0</v>
      </c>
      <c r="Q24" s="1">
        <v>0.14838000000000001</v>
      </c>
      <c r="R24" s="1">
        <v>0.1651</v>
      </c>
      <c r="S24" s="1">
        <v>0.13644000000000001</v>
      </c>
      <c r="T24" s="1">
        <v>0.11672</v>
      </c>
      <c r="U24" s="1">
        <v>0</v>
      </c>
      <c r="V24" s="1">
        <v>0</v>
      </c>
      <c r="W24" s="1">
        <v>0</v>
      </c>
      <c r="X24" s="1">
        <v>0.12575</v>
      </c>
      <c r="Y24" s="1">
        <v>0.14476</v>
      </c>
      <c r="Z24" s="1">
        <v>0.13782</v>
      </c>
      <c r="AA24" s="1">
        <v>0.17755000000000001</v>
      </c>
      <c r="AB24" s="1">
        <v>0.17049</v>
      </c>
      <c r="AC24" s="1">
        <v>0.16913</v>
      </c>
      <c r="AD24" s="1">
        <v>0</v>
      </c>
      <c r="AE24" s="1">
        <v>0.11518</v>
      </c>
      <c r="AF24" s="1">
        <v>0</v>
      </c>
      <c r="AG24" s="1">
        <v>0.17629</v>
      </c>
      <c r="AH24" s="1">
        <v>0.16536000000000001</v>
      </c>
      <c r="AI24" s="1">
        <v>0.15393999999999999</v>
      </c>
      <c r="AJ24" s="1">
        <v>0.13789000000000001</v>
      </c>
      <c r="AK24" s="1">
        <v>0.11974</v>
      </c>
      <c r="AL24" s="1">
        <v>0.11733</v>
      </c>
      <c r="AM24" s="1">
        <v>0.13009000000000001</v>
      </c>
      <c r="AN24" s="1">
        <v>0.14141000000000001</v>
      </c>
      <c r="AO24" s="1">
        <v>0.11062</v>
      </c>
      <c r="AP24" s="1">
        <v>0.13374</v>
      </c>
      <c r="AQ24" s="1">
        <v>0.15406</v>
      </c>
      <c r="AR24" s="1">
        <v>0.15694</v>
      </c>
      <c r="AS24" s="1">
        <v>0.1525</v>
      </c>
      <c r="AT24" s="1">
        <v>0.14985000000000001</v>
      </c>
      <c r="AU24" s="1">
        <v>0</v>
      </c>
      <c r="AV24" s="1">
        <v>0.16818</v>
      </c>
      <c r="AW24" s="1">
        <v>0</v>
      </c>
      <c r="AX24" s="1">
        <v>0.14387</v>
      </c>
      <c r="AY24" s="1">
        <v>0.1343</v>
      </c>
      <c r="AZ24" s="1">
        <v>0.15098</v>
      </c>
      <c r="BA24" s="1">
        <v>0.13114000000000001</v>
      </c>
      <c r="BB24" s="1">
        <v>0.12148</v>
      </c>
      <c r="BC24" s="1">
        <v>0.18393999999999999</v>
      </c>
      <c r="BD24" s="1">
        <v>0.16234000000000001</v>
      </c>
      <c r="BE24" s="1">
        <v>0.15634000000000001</v>
      </c>
      <c r="BF24" s="1">
        <v>0.14928</v>
      </c>
      <c r="BG24" s="1">
        <v>0.13930999999999999</v>
      </c>
      <c r="BH24" s="1">
        <v>0.14283000000000001</v>
      </c>
      <c r="BI24" s="1">
        <v>0</v>
      </c>
      <c r="BJ24" s="1">
        <v>0</v>
      </c>
      <c r="BK24" s="1">
        <v>0.12268999999999999</v>
      </c>
      <c r="BL24" s="1">
        <v>0.16187000000000001</v>
      </c>
      <c r="BM24" s="1">
        <v>0.16081999999999999</v>
      </c>
      <c r="BN24" s="1">
        <v>0.13266</v>
      </c>
      <c r="BO24" s="1">
        <v>0</v>
      </c>
      <c r="BP24" s="1">
        <v>0.12096</v>
      </c>
      <c r="BQ24" s="1">
        <v>0.16561999999999999</v>
      </c>
      <c r="BR24" s="1">
        <v>0.14363999999999999</v>
      </c>
      <c r="BS24" s="1">
        <v>0</v>
      </c>
      <c r="BT24" s="1">
        <v>0.11658</v>
      </c>
      <c r="BU24" s="1">
        <v>0.12021</v>
      </c>
      <c r="BV24" s="1">
        <v>0</v>
      </c>
      <c r="BW24" s="1">
        <v>0.15617</v>
      </c>
      <c r="BX24" s="1">
        <v>0</v>
      </c>
      <c r="BY24" s="1">
        <v>0.11556</v>
      </c>
      <c r="BZ24" s="1">
        <v>0</v>
      </c>
      <c r="CA24" s="1">
        <v>0.12023</v>
      </c>
      <c r="CB24" s="1">
        <v>0.14287</v>
      </c>
      <c r="CC24" s="1">
        <v>0.12637000000000001</v>
      </c>
      <c r="CD24" s="1">
        <v>0.11536</v>
      </c>
      <c r="CE24" s="1">
        <v>0</v>
      </c>
      <c r="CF24" s="1">
        <v>0.12612999999999999</v>
      </c>
      <c r="CG24" s="1">
        <v>0.17693</v>
      </c>
      <c r="CH24" s="1">
        <v>0</v>
      </c>
      <c r="CI24" s="1">
        <v>0.11205</v>
      </c>
      <c r="CJ24" s="1">
        <v>0.12304</v>
      </c>
      <c r="CK24" s="1">
        <v>0</v>
      </c>
      <c r="CL24" s="1">
        <v>0</v>
      </c>
      <c r="CM24" s="1">
        <v>0</v>
      </c>
      <c r="CN24" s="1">
        <v>0</v>
      </c>
      <c r="CO24" s="1">
        <v>0.15779000000000001</v>
      </c>
      <c r="CP24" s="1">
        <v>0.13922000000000001</v>
      </c>
      <c r="CQ24" s="1">
        <v>0.16106000000000001</v>
      </c>
      <c r="CR24" s="1">
        <v>0</v>
      </c>
      <c r="CS24" s="1">
        <v>0</v>
      </c>
      <c r="CT24" s="1">
        <v>0</v>
      </c>
      <c r="CU24" s="1">
        <v>0.16242999999999999</v>
      </c>
      <c r="CV24" s="1">
        <v>0.13278999999999999</v>
      </c>
      <c r="CW24" s="1">
        <v>0.12018</v>
      </c>
      <c r="CX24" s="1">
        <v>0</v>
      </c>
      <c r="CY24" s="1">
        <v>0</v>
      </c>
      <c r="CZ24" s="1">
        <v>0.17519999999999999</v>
      </c>
      <c r="DA24" s="1">
        <v>0.15010000000000001</v>
      </c>
      <c r="DB24" s="1">
        <v>0.1278</v>
      </c>
      <c r="DC24" s="1">
        <v>0.13689999999999999</v>
      </c>
      <c r="DD24" s="1">
        <v>0.1653</v>
      </c>
      <c r="DE24" s="1">
        <v>0.13250000000000001</v>
      </c>
      <c r="DF24" s="1">
        <v>0.1409</v>
      </c>
      <c r="DG24" s="1">
        <v>0.12479999999999999</v>
      </c>
      <c r="DH24" s="1">
        <v>0</v>
      </c>
      <c r="DI24" s="1">
        <v>0.11210000000000001</v>
      </c>
      <c r="DJ24" s="1">
        <v>0.12189999999999999</v>
      </c>
      <c r="DK24" s="1">
        <v>0.1192</v>
      </c>
      <c r="DL24" s="1">
        <v>0.14119999999999999</v>
      </c>
      <c r="DM24" s="1">
        <v>0.1603</v>
      </c>
      <c r="DN24" s="1">
        <v>0.1384</v>
      </c>
      <c r="DO24" s="1">
        <v>0.1389</v>
      </c>
      <c r="DP24" s="1">
        <v>0.1236</v>
      </c>
      <c r="DQ24" s="1">
        <v>0</v>
      </c>
      <c r="DR24" s="1">
        <v>0.1229</v>
      </c>
      <c r="DS24" s="1">
        <v>0.15479999999999999</v>
      </c>
      <c r="DT24" s="1">
        <v>0</v>
      </c>
      <c r="DU24" s="1">
        <v>0.161</v>
      </c>
      <c r="DV24" s="1">
        <v>0.14330000000000001</v>
      </c>
      <c r="DW24" s="1">
        <v>0.13689999999999999</v>
      </c>
      <c r="DX24" s="1">
        <v>0.12709999999999999</v>
      </c>
      <c r="DY24" s="1">
        <v>0.12540000000000001</v>
      </c>
      <c r="DZ24" s="1">
        <v>0</v>
      </c>
    </row>
    <row r="25" spans="1:130" x14ac:dyDescent="0.3">
      <c r="A25" s="2" t="s">
        <v>176</v>
      </c>
      <c r="B25" s="1">
        <v>0.17432</v>
      </c>
      <c r="C25" s="1">
        <v>0.16894000000000001</v>
      </c>
      <c r="D25" s="1">
        <v>0</v>
      </c>
      <c r="E25" s="1">
        <v>0.12556999999999999</v>
      </c>
      <c r="F25" s="1">
        <v>0.17555999999999999</v>
      </c>
      <c r="G25" s="1">
        <v>0.1736</v>
      </c>
      <c r="H25" s="1">
        <v>0.17451</v>
      </c>
      <c r="I25" s="1">
        <v>0</v>
      </c>
      <c r="J25" s="1">
        <v>0</v>
      </c>
      <c r="K25" s="1">
        <v>0.17133000000000001</v>
      </c>
      <c r="L25" s="1">
        <v>0.17671999999999999</v>
      </c>
      <c r="M25" s="1">
        <v>0.12224</v>
      </c>
      <c r="N25" s="1">
        <v>0.13561999999999999</v>
      </c>
      <c r="O25" s="1">
        <v>0</v>
      </c>
      <c r="P25" s="1">
        <v>0</v>
      </c>
      <c r="Q25" s="1">
        <v>0.15187</v>
      </c>
      <c r="R25" s="1">
        <v>0.16258</v>
      </c>
      <c r="S25" s="1">
        <v>0.14924999999999999</v>
      </c>
      <c r="T25" s="1">
        <v>0</v>
      </c>
      <c r="U25" s="1">
        <v>0</v>
      </c>
      <c r="V25" s="1">
        <v>0.13965</v>
      </c>
      <c r="W25" s="1">
        <v>0.13309000000000001</v>
      </c>
      <c r="X25" s="1">
        <v>0</v>
      </c>
      <c r="Y25" s="1">
        <v>0.15629000000000001</v>
      </c>
      <c r="Z25" s="1">
        <v>0.14885000000000001</v>
      </c>
      <c r="AA25" s="1">
        <v>0.16822999999999999</v>
      </c>
      <c r="AB25" s="1">
        <v>0.17532</v>
      </c>
      <c r="AC25" s="1">
        <v>0.16278000000000001</v>
      </c>
      <c r="AD25" s="1">
        <v>0.13542000000000001</v>
      </c>
      <c r="AE25" s="1">
        <v>0.13303999999999999</v>
      </c>
      <c r="AF25" s="1">
        <v>0.11867999999999999</v>
      </c>
      <c r="AG25" s="1">
        <v>0.17756</v>
      </c>
      <c r="AH25" s="1">
        <v>0.17771000000000001</v>
      </c>
      <c r="AI25" s="1">
        <v>0.15436</v>
      </c>
      <c r="AJ25" s="1">
        <v>0.14635999999999999</v>
      </c>
      <c r="AK25" s="1">
        <v>0.13097</v>
      </c>
      <c r="AL25" s="1">
        <v>0</v>
      </c>
      <c r="AM25" s="1">
        <v>0.13958000000000001</v>
      </c>
      <c r="AN25" s="1">
        <v>0.15326999999999999</v>
      </c>
      <c r="AO25" s="1">
        <v>0.11244</v>
      </c>
      <c r="AP25" s="1">
        <v>0.14188999999999999</v>
      </c>
      <c r="AQ25" s="1">
        <v>0.15340000000000001</v>
      </c>
      <c r="AR25" s="1">
        <v>0.16994999999999999</v>
      </c>
      <c r="AS25" s="1">
        <v>0.16178000000000001</v>
      </c>
      <c r="AT25" s="1">
        <v>0.16791</v>
      </c>
      <c r="AU25" s="1">
        <v>0.17523</v>
      </c>
      <c r="AV25" s="1">
        <v>0</v>
      </c>
      <c r="AW25" s="1">
        <v>0.12697</v>
      </c>
      <c r="AX25" s="1">
        <v>0.15484000000000001</v>
      </c>
      <c r="AY25" s="1">
        <v>0</v>
      </c>
      <c r="AZ25" s="1">
        <v>0.15232999999999999</v>
      </c>
      <c r="BA25" s="1">
        <v>0.14355000000000001</v>
      </c>
      <c r="BB25" s="1">
        <v>0.13195000000000001</v>
      </c>
      <c r="BC25" s="1">
        <v>0.16717000000000001</v>
      </c>
      <c r="BD25" s="1">
        <v>0.17510999999999999</v>
      </c>
      <c r="BE25" s="1">
        <v>0.16732</v>
      </c>
      <c r="BF25" s="1">
        <v>0.15454999999999999</v>
      </c>
      <c r="BG25" s="1">
        <v>0.16467999999999999</v>
      </c>
      <c r="BH25" s="1">
        <v>0.15608</v>
      </c>
      <c r="BI25" s="1">
        <v>0.13600000000000001</v>
      </c>
      <c r="BJ25" s="1">
        <v>0.16789999999999999</v>
      </c>
      <c r="BK25" s="1">
        <v>0.13272999999999999</v>
      </c>
      <c r="BL25" s="1">
        <v>0</v>
      </c>
      <c r="BM25" s="1">
        <v>0.16694999999999999</v>
      </c>
      <c r="BN25" s="1">
        <v>0.13141</v>
      </c>
      <c r="BO25" s="1">
        <v>0.12770000000000001</v>
      </c>
      <c r="BP25" s="1">
        <v>0</v>
      </c>
      <c r="BQ25" s="1">
        <v>0.17696999999999999</v>
      </c>
      <c r="BR25" s="1">
        <v>0</v>
      </c>
      <c r="BS25" s="1">
        <v>0.15492</v>
      </c>
      <c r="BT25" s="1">
        <v>0.12232</v>
      </c>
      <c r="BU25" s="1">
        <v>0.13778000000000001</v>
      </c>
      <c r="BV25" s="1">
        <v>0.13066</v>
      </c>
      <c r="BW25" s="1">
        <v>0.17449000000000001</v>
      </c>
      <c r="BX25" s="1">
        <v>0.13061</v>
      </c>
      <c r="BY25" s="1">
        <v>0.12542</v>
      </c>
      <c r="BZ25" s="1">
        <v>0</v>
      </c>
      <c r="CA25" s="1">
        <v>0</v>
      </c>
      <c r="CB25" s="1">
        <v>0.15565000000000001</v>
      </c>
      <c r="CC25" s="1">
        <v>0</v>
      </c>
      <c r="CD25" s="1">
        <v>0.13005</v>
      </c>
      <c r="CE25" s="1">
        <v>0.12981000000000001</v>
      </c>
      <c r="CF25" s="1">
        <v>0.12737000000000001</v>
      </c>
      <c r="CG25" s="1">
        <v>0.17347000000000001</v>
      </c>
      <c r="CH25" s="1">
        <v>0.1444</v>
      </c>
      <c r="CI25" s="1">
        <v>0.13502</v>
      </c>
      <c r="CJ25" s="1">
        <v>0.12338</v>
      </c>
      <c r="CK25" s="1">
        <v>0.13755999999999999</v>
      </c>
      <c r="CL25" s="1">
        <v>0.12595999999999999</v>
      </c>
      <c r="CM25" s="1">
        <v>0</v>
      </c>
      <c r="CN25" s="1">
        <v>0.13775000000000001</v>
      </c>
      <c r="CO25" s="1">
        <v>0.17641000000000001</v>
      </c>
      <c r="CP25" s="1">
        <v>0.15507000000000001</v>
      </c>
      <c r="CQ25" s="1">
        <v>0.17005000000000001</v>
      </c>
      <c r="CR25" s="1">
        <v>0.14013</v>
      </c>
      <c r="CS25" s="1">
        <v>0.12923000000000001</v>
      </c>
      <c r="CT25" s="1">
        <v>0</v>
      </c>
      <c r="CU25" s="1">
        <v>0.16703000000000001</v>
      </c>
      <c r="CV25" s="1">
        <v>0.14834</v>
      </c>
      <c r="CW25" s="1">
        <v>0.12783</v>
      </c>
      <c r="CX25" s="1">
        <v>0</v>
      </c>
      <c r="CY25" s="1">
        <v>0</v>
      </c>
      <c r="CZ25" s="1">
        <v>0.17380000000000001</v>
      </c>
      <c r="DA25" s="1">
        <v>0.14860000000000001</v>
      </c>
      <c r="DB25" s="1">
        <v>0.14119999999999999</v>
      </c>
      <c r="DC25" s="1">
        <v>0.15040000000000001</v>
      </c>
      <c r="DD25" s="1">
        <v>0.16</v>
      </c>
      <c r="DE25" s="1">
        <v>0.14630000000000001</v>
      </c>
      <c r="DF25" s="1">
        <v>0.14929999999999999</v>
      </c>
      <c r="DG25" s="1">
        <v>0.14169999999999999</v>
      </c>
      <c r="DH25" s="1">
        <v>0</v>
      </c>
      <c r="DI25" s="1">
        <v>0.12529999999999999</v>
      </c>
      <c r="DJ25" s="1">
        <v>0.13170000000000001</v>
      </c>
      <c r="DK25" s="1">
        <v>0.13250000000000001</v>
      </c>
      <c r="DL25" s="1">
        <v>0.14369999999999999</v>
      </c>
      <c r="DM25" s="1">
        <v>0.16220000000000001</v>
      </c>
      <c r="DN25" s="1">
        <v>0.14990000000000001</v>
      </c>
      <c r="DO25" s="1">
        <v>0.151</v>
      </c>
      <c r="DP25" s="1">
        <v>0.14560000000000001</v>
      </c>
      <c r="DQ25" s="1">
        <v>0</v>
      </c>
      <c r="DR25" s="1">
        <v>0</v>
      </c>
      <c r="DS25" s="1">
        <v>0.17050000000000001</v>
      </c>
      <c r="DT25" s="1">
        <v>0.13539999999999999</v>
      </c>
      <c r="DU25" s="1">
        <v>0.16450000000000001</v>
      </c>
      <c r="DV25" s="1">
        <v>0.14660000000000001</v>
      </c>
      <c r="DW25" s="1">
        <v>0.14219999999999999</v>
      </c>
      <c r="DX25" s="1">
        <v>0.13669999999999999</v>
      </c>
      <c r="DY25" s="1">
        <v>0.13320000000000001</v>
      </c>
      <c r="DZ25" s="1">
        <v>0.12939999999999999</v>
      </c>
    </row>
    <row r="26" spans="1:130" x14ac:dyDescent="0.3">
      <c r="A26" s="2" t="s">
        <v>177</v>
      </c>
      <c r="B26" s="1">
        <v>0.10308</v>
      </c>
      <c r="C26" s="1">
        <v>0.10277</v>
      </c>
      <c r="D26" s="1">
        <v>0</v>
      </c>
      <c r="E26" s="1">
        <v>6.3219999999999998E-2</v>
      </c>
      <c r="F26" s="1">
        <v>0.10057000000000001</v>
      </c>
      <c r="G26" s="1">
        <v>0.10965</v>
      </c>
      <c r="H26" s="1">
        <v>0.11438</v>
      </c>
      <c r="I26" s="1">
        <v>0</v>
      </c>
      <c r="J26" s="1">
        <v>0</v>
      </c>
      <c r="K26" s="1">
        <v>0</v>
      </c>
      <c r="L26" s="1">
        <v>0</v>
      </c>
      <c r="M26" s="1">
        <v>6.8760000000000002E-2</v>
      </c>
      <c r="N26" s="1">
        <v>0</v>
      </c>
      <c r="O26" s="1">
        <v>6.4060000000000006E-2</v>
      </c>
      <c r="P26" s="1">
        <v>0</v>
      </c>
      <c r="Q26" s="1">
        <v>9.0719999999999995E-2</v>
      </c>
      <c r="R26" s="1">
        <v>8.4699999999999998E-2</v>
      </c>
      <c r="S26" s="1">
        <v>7.9350000000000004E-2</v>
      </c>
      <c r="T26" s="1">
        <v>6.694E-2</v>
      </c>
      <c r="U26" s="1">
        <v>0</v>
      </c>
      <c r="V26" s="1">
        <v>0</v>
      </c>
      <c r="W26" s="1">
        <v>7.1069999999999994E-2</v>
      </c>
      <c r="X26" s="1">
        <v>0</v>
      </c>
      <c r="Y26" s="1">
        <v>9.1329999999999995E-2</v>
      </c>
      <c r="Z26" s="1">
        <v>7.9799999999999996E-2</v>
      </c>
      <c r="AA26" s="1">
        <v>0.10845</v>
      </c>
      <c r="AB26" s="1">
        <v>0.10396</v>
      </c>
      <c r="AC26" s="1">
        <v>9.9110000000000004E-2</v>
      </c>
      <c r="AD26" s="1">
        <v>0</v>
      </c>
      <c r="AE26" s="1">
        <v>0</v>
      </c>
      <c r="AF26" s="1">
        <v>0</v>
      </c>
      <c r="AG26" s="1">
        <v>0.10428</v>
      </c>
      <c r="AH26" s="1">
        <v>9.9400000000000002E-2</v>
      </c>
      <c r="AI26" s="1">
        <v>8.5779999999999995E-2</v>
      </c>
      <c r="AJ26" s="1">
        <v>0</v>
      </c>
      <c r="AK26" s="1">
        <v>0</v>
      </c>
      <c r="AL26" s="1">
        <v>6.7930000000000004E-2</v>
      </c>
      <c r="AM26" s="1">
        <v>0</v>
      </c>
      <c r="AN26" s="1">
        <v>8.5790000000000005E-2</v>
      </c>
      <c r="AO26" s="1">
        <v>0</v>
      </c>
      <c r="AP26" s="1">
        <v>0</v>
      </c>
      <c r="AQ26" s="1">
        <v>8.5559999999999997E-2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8.3349999999999994E-2</v>
      </c>
      <c r="AY26" s="1">
        <v>0</v>
      </c>
      <c r="AZ26" s="1">
        <v>8.6830000000000004E-2</v>
      </c>
      <c r="BA26" s="1">
        <v>0</v>
      </c>
      <c r="BB26" s="1">
        <v>0</v>
      </c>
      <c r="BC26" s="1">
        <v>9.6750000000000003E-2</v>
      </c>
      <c r="BD26" s="1">
        <v>0</v>
      </c>
      <c r="BE26" s="1">
        <v>0</v>
      </c>
      <c r="BF26" s="1">
        <v>8.1210000000000004E-2</v>
      </c>
      <c r="BG26" s="1">
        <v>8.5620000000000002E-2</v>
      </c>
      <c r="BH26" s="1">
        <v>8.8499999999999995E-2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0.11906</v>
      </c>
      <c r="BR26" s="1">
        <v>0</v>
      </c>
      <c r="BS26" s="1">
        <v>8.4430000000000005E-2</v>
      </c>
      <c r="BT26" s="1">
        <v>0</v>
      </c>
      <c r="BU26" s="1">
        <v>0</v>
      </c>
      <c r="BV26" s="1">
        <v>0</v>
      </c>
      <c r="BW26" s="1">
        <v>0.11451</v>
      </c>
      <c r="BX26" s="1">
        <v>0</v>
      </c>
      <c r="BY26" s="1">
        <v>0</v>
      </c>
      <c r="BZ26" s="1">
        <v>0</v>
      </c>
      <c r="CA26" s="1">
        <v>0</v>
      </c>
      <c r="CB26" s="1">
        <v>8.6209999999999995E-2</v>
      </c>
      <c r="CC26" s="1">
        <v>0</v>
      </c>
      <c r="CD26" s="1">
        <v>0</v>
      </c>
      <c r="CE26" s="1">
        <v>0</v>
      </c>
      <c r="CF26" s="1">
        <v>0</v>
      </c>
      <c r="CG26" s="1">
        <v>0.1013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9.6060000000000006E-2</v>
      </c>
      <c r="CP26" s="1">
        <v>8.054E-2</v>
      </c>
      <c r="CQ26" s="1">
        <v>9.8250000000000004E-2</v>
      </c>
      <c r="CR26" s="1">
        <v>0</v>
      </c>
      <c r="CS26" s="1">
        <v>6.5680000000000002E-2</v>
      </c>
      <c r="CT26" s="1">
        <v>0</v>
      </c>
      <c r="CU26" s="1">
        <v>9.9180000000000004E-2</v>
      </c>
      <c r="CV26" s="1">
        <v>8.473E-2</v>
      </c>
      <c r="CW26" s="1">
        <v>0</v>
      </c>
      <c r="CX26" s="1">
        <v>0</v>
      </c>
      <c r="CY26" s="1">
        <v>0</v>
      </c>
      <c r="CZ26" s="1">
        <v>9.5799999999999996E-2</v>
      </c>
      <c r="DA26" s="1">
        <v>8.14E-2</v>
      </c>
      <c r="DB26" s="1">
        <v>7.3800000000000004E-2</v>
      </c>
      <c r="DC26" s="1">
        <v>8.09E-2</v>
      </c>
      <c r="DD26" s="1">
        <v>8.8200000000000001E-2</v>
      </c>
      <c r="DE26" s="1">
        <v>0</v>
      </c>
      <c r="DF26" s="1">
        <v>8.3299999999999999E-2</v>
      </c>
      <c r="DG26" s="1">
        <v>0</v>
      </c>
      <c r="DH26" s="1">
        <v>0</v>
      </c>
      <c r="DI26" s="1">
        <v>6.5199999999999994E-2</v>
      </c>
      <c r="DJ26" s="1">
        <v>0</v>
      </c>
      <c r="DK26" s="1">
        <v>0</v>
      </c>
      <c r="DL26" s="1">
        <v>0</v>
      </c>
      <c r="DM26" s="1">
        <v>9.8299999999999998E-2</v>
      </c>
      <c r="DN26" s="1">
        <v>8.3199999999999996E-2</v>
      </c>
      <c r="DO26" s="1">
        <v>7.7799999999999994E-2</v>
      </c>
      <c r="DP26" s="1">
        <v>0</v>
      </c>
      <c r="DQ26" s="1">
        <v>6.93E-2</v>
      </c>
      <c r="DR26" s="1">
        <v>0</v>
      </c>
      <c r="DS26" s="1">
        <v>0</v>
      </c>
      <c r="DT26" s="1">
        <v>0</v>
      </c>
      <c r="DU26" s="1">
        <v>9.8400000000000001E-2</v>
      </c>
      <c r="DV26" s="1">
        <v>7.7899999999999997E-2</v>
      </c>
      <c r="DW26" s="1">
        <v>0</v>
      </c>
      <c r="DX26" s="1">
        <v>0</v>
      </c>
      <c r="DY26" s="1">
        <v>0</v>
      </c>
      <c r="DZ26" s="1">
        <v>0</v>
      </c>
    </row>
    <row r="27" spans="1:130" x14ac:dyDescent="0.3">
      <c r="A27" s="2" t="s">
        <v>178</v>
      </c>
      <c r="B27" s="1">
        <v>0.26889999999999997</v>
      </c>
      <c r="C27" s="1">
        <v>0.24418000000000001</v>
      </c>
      <c r="D27" s="1">
        <v>0.19919999999999999</v>
      </c>
      <c r="E27" s="1">
        <v>0</v>
      </c>
      <c r="F27" s="1">
        <v>0.28336</v>
      </c>
      <c r="G27" s="1">
        <v>0.25575999999999999</v>
      </c>
      <c r="H27" s="1">
        <v>0.26351999999999998</v>
      </c>
      <c r="I27" s="1">
        <v>0.17232</v>
      </c>
      <c r="J27" s="1">
        <v>0</v>
      </c>
      <c r="K27" s="1">
        <v>0.25235000000000002</v>
      </c>
      <c r="L27" s="1">
        <v>0.25513999999999998</v>
      </c>
      <c r="M27" s="1">
        <v>0</v>
      </c>
      <c r="N27" s="1">
        <v>0.19191</v>
      </c>
      <c r="O27" s="1">
        <v>0</v>
      </c>
      <c r="P27" s="1">
        <v>0</v>
      </c>
      <c r="Q27" s="1">
        <v>0.23175000000000001</v>
      </c>
      <c r="R27" s="1">
        <v>0.22878000000000001</v>
      </c>
      <c r="S27" s="1">
        <v>0.24024000000000001</v>
      </c>
      <c r="T27" s="1">
        <v>0</v>
      </c>
      <c r="U27" s="1">
        <v>0.19355</v>
      </c>
      <c r="V27" s="1">
        <v>0.20430000000000001</v>
      </c>
      <c r="W27" s="1">
        <v>0</v>
      </c>
      <c r="X27" s="1">
        <v>0</v>
      </c>
      <c r="Y27" s="1">
        <v>0.23658999999999999</v>
      </c>
      <c r="Z27" s="1">
        <v>0.23053999999999999</v>
      </c>
      <c r="AA27" s="1">
        <v>0.24101</v>
      </c>
      <c r="AB27" s="1">
        <v>0.26645999999999997</v>
      </c>
      <c r="AC27" s="1">
        <v>0.25312000000000001</v>
      </c>
      <c r="AD27" s="1">
        <v>0.19927</v>
      </c>
      <c r="AE27" s="1">
        <v>0</v>
      </c>
      <c r="AF27" s="1">
        <v>0</v>
      </c>
      <c r="AG27" s="1">
        <v>0.25644</v>
      </c>
      <c r="AH27" s="1">
        <v>0.23513000000000001</v>
      </c>
      <c r="AI27" s="1">
        <v>0.24171999999999999</v>
      </c>
      <c r="AJ27" s="1">
        <v>0.23313</v>
      </c>
      <c r="AK27" s="1">
        <v>0</v>
      </c>
      <c r="AL27" s="1">
        <v>0</v>
      </c>
      <c r="AM27" s="1">
        <v>0.2286</v>
      </c>
      <c r="AN27" s="1">
        <v>0.22370999999999999</v>
      </c>
      <c r="AO27" s="1">
        <v>0.17091999999999999</v>
      </c>
      <c r="AP27" s="1">
        <v>0.23991000000000001</v>
      </c>
      <c r="AQ27" s="1">
        <v>0.22545999999999999</v>
      </c>
      <c r="AR27" s="1">
        <v>0.24224999999999999</v>
      </c>
      <c r="AS27" s="1">
        <v>0</v>
      </c>
      <c r="AT27" s="1">
        <v>0.24234</v>
      </c>
      <c r="AU27" s="1">
        <v>0</v>
      </c>
      <c r="AV27" s="1">
        <v>0</v>
      </c>
      <c r="AW27" s="1">
        <v>0.17910999999999999</v>
      </c>
      <c r="AX27" s="1">
        <v>0.21845000000000001</v>
      </c>
      <c r="AY27" s="1" t="s">
        <v>160</v>
      </c>
      <c r="AZ27" s="1">
        <v>0.2102</v>
      </c>
      <c r="BA27" s="1">
        <v>0.20757999999999999</v>
      </c>
      <c r="BB27" s="1">
        <v>0.21356</v>
      </c>
      <c r="BC27" s="1">
        <v>0.26591999999999999</v>
      </c>
      <c r="BD27" s="1">
        <v>0.25844</v>
      </c>
      <c r="BE27" s="1">
        <v>0</v>
      </c>
      <c r="BF27" s="1">
        <v>0.22788</v>
      </c>
      <c r="BG27" s="1">
        <v>0.23425000000000001</v>
      </c>
      <c r="BH27" s="1">
        <v>0.20613000000000001</v>
      </c>
      <c r="BI27" s="1">
        <v>0</v>
      </c>
      <c r="BJ27" s="1">
        <v>0</v>
      </c>
      <c r="BK27" s="1">
        <v>0</v>
      </c>
      <c r="BL27" s="1">
        <v>0.24956</v>
      </c>
      <c r="BM27" s="1">
        <v>0.23618</v>
      </c>
      <c r="BN27" s="1">
        <v>0.20385</v>
      </c>
      <c r="BO27" s="1">
        <v>0</v>
      </c>
      <c r="BP27" s="1">
        <v>0.20635000000000001</v>
      </c>
      <c r="BQ27" s="1">
        <v>0.23757</v>
      </c>
      <c r="BR27" s="1">
        <v>0.22534000000000001</v>
      </c>
      <c r="BS27" s="1">
        <v>0</v>
      </c>
      <c r="BT27" s="1">
        <v>0.21976000000000001</v>
      </c>
      <c r="BU27" s="1">
        <v>0.18997</v>
      </c>
      <c r="BV27" s="1">
        <v>0.18240000000000001</v>
      </c>
      <c r="BW27" s="1">
        <v>0.25572</v>
      </c>
      <c r="BX27" s="1">
        <v>0.17879999999999999</v>
      </c>
      <c r="BY27" s="1">
        <v>0</v>
      </c>
      <c r="BZ27" s="1">
        <v>0.20613000000000001</v>
      </c>
      <c r="CA27" s="1">
        <v>0</v>
      </c>
      <c r="CB27" s="1">
        <v>0.24176</v>
      </c>
      <c r="CC27" s="1">
        <v>0</v>
      </c>
      <c r="CD27" s="1">
        <v>0</v>
      </c>
      <c r="CE27" s="1">
        <v>0.18908</v>
      </c>
      <c r="CF27" s="1">
        <v>0</v>
      </c>
      <c r="CG27" s="1">
        <v>0.25646000000000002</v>
      </c>
      <c r="CH27" s="1">
        <v>0.22908999999999999</v>
      </c>
      <c r="CI27" s="1">
        <v>0</v>
      </c>
      <c r="CJ27" s="1">
        <v>0.20451</v>
      </c>
      <c r="CK27" s="1">
        <v>0</v>
      </c>
      <c r="CL27" s="1">
        <v>0.19872000000000001</v>
      </c>
      <c r="CM27" s="1">
        <v>0.18729999999999999</v>
      </c>
      <c r="CN27" s="1">
        <v>0.17818000000000001</v>
      </c>
      <c r="CO27" s="1">
        <v>0.2626</v>
      </c>
      <c r="CP27" s="1">
        <v>0.22803999999999999</v>
      </c>
      <c r="CQ27" s="1">
        <v>0.24790999999999999</v>
      </c>
      <c r="CR27" s="1">
        <v>0.20549999999999999</v>
      </c>
      <c r="CS27" s="1">
        <v>0</v>
      </c>
      <c r="CT27" s="1">
        <v>0.15060000000000001</v>
      </c>
      <c r="CU27" s="1">
        <v>0.25389</v>
      </c>
      <c r="CV27" s="1">
        <v>0.21811</v>
      </c>
      <c r="CW27" s="1">
        <v>0</v>
      </c>
      <c r="CX27" s="1">
        <v>0</v>
      </c>
      <c r="CY27" s="1">
        <v>0.18390000000000001</v>
      </c>
      <c r="CZ27" s="1">
        <v>0.24199999999999999</v>
      </c>
      <c r="DA27" s="1">
        <v>0.24909999999999999</v>
      </c>
      <c r="DB27" s="1">
        <v>0.2303</v>
      </c>
      <c r="DC27" s="1">
        <v>0.23799999999999999</v>
      </c>
      <c r="DD27" s="1">
        <v>0.24590000000000001</v>
      </c>
      <c r="DE27" s="1">
        <v>0.21560000000000001</v>
      </c>
      <c r="DF27" s="1">
        <v>0.24390000000000001</v>
      </c>
      <c r="DG27" s="1">
        <v>0.191</v>
      </c>
      <c r="DH27" s="1">
        <v>0.17960000000000001</v>
      </c>
      <c r="DI27" s="1">
        <v>0</v>
      </c>
      <c r="DJ27" s="1">
        <v>0.17929999999999999</v>
      </c>
      <c r="DK27" s="1">
        <v>0</v>
      </c>
      <c r="DL27" s="1">
        <v>0.21840000000000001</v>
      </c>
      <c r="DM27" s="1">
        <v>0.2492</v>
      </c>
      <c r="DN27" s="1">
        <v>0.23019999999999999</v>
      </c>
      <c r="DO27" s="1">
        <v>0.2359</v>
      </c>
      <c r="DP27" s="1">
        <v>0.24679999999999999</v>
      </c>
      <c r="DQ27" s="1">
        <v>0.1867</v>
      </c>
      <c r="DR27" s="1">
        <v>0.16700000000000001</v>
      </c>
      <c r="DS27" s="1">
        <v>0.2364</v>
      </c>
      <c r="DT27" s="1">
        <v>0</v>
      </c>
      <c r="DU27" s="1">
        <v>0.23949999999999999</v>
      </c>
      <c r="DV27" s="1">
        <v>0.21879999999999999</v>
      </c>
      <c r="DW27" s="1">
        <v>0</v>
      </c>
      <c r="DX27" s="1">
        <v>0</v>
      </c>
      <c r="DY27" s="1">
        <v>0</v>
      </c>
      <c r="DZ27" s="1">
        <v>0.1961</v>
      </c>
    </row>
    <row r="28" spans="1:130" x14ac:dyDescent="0.3">
      <c r="A28" s="2" t="s">
        <v>179</v>
      </c>
      <c r="B28" s="1">
        <v>0</v>
      </c>
      <c r="C28" s="1">
        <v>0</v>
      </c>
      <c r="D28" s="1">
        <v>0</v>
      </c>
      <c r="E28" s="1">
        <v>7.0360000000000006E-2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0.10506</v>
      </c>
      <c r="S28" s="1">
        <v>9.3579999999999997E-2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9.1450000000000004E-2</v>
      </c>
      <c r="Z28" s="1">
        <v>9.2759999999999995E-2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7.5770000000000004E-2</v>
      </c>
      <c r="AM28" s="1">
        <v>0</v>
      </c>
      <c r="AN28" s="1">
        <v>9.2230000000000006E-2</v>
      </c>
      <c r="AO28" s="1">
        <v>0</v>
      </c>
      <c r="AP28" s="1">
        <v>0</v>
      </c>
      <c r="AQ28" s="1">
        <v>0</v>
      </c>
      <c r="AR28" s="1">
        <v>9.937E-2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9.4479999999999995E-2</v>
      </c>
      <c r="BA28" s="1">
        <v>0</v>
      </c>
      <c r="BB28" s="1">
        <v>7.4499999999999997E-2</v>
      </c>
      <c r="BC28" s="1">
        <v>0</v>
      </c>
      <c r="BD28" s="1">
        <v>0</v>
      </c>
      <c r="BE28" s="1">
        <v>0</v>
      </c>
      <c r="BF28" s="1">
        <v>9.1149999999999995E-2</v>
      </c>
      <c r="BG28" s="1">
        <v>9.3359999999999999E-2</v>
      </c>
      <c r="BH28" s="1">
        <v>0</v>
      </c>
      <c r="BI28" s="1">
        <v>8.1189999999999998E-2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7.2889999999999996E-2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7.6719999999999997E-2</v>
      </c>
      <c r="CA28" s="1">
        <v>0</v>
      </c>
      <c r="CB28" s="1">
        <v>8.9889999999999998E-2</v>
      </c>
      <c r="CC28" s="1">
        <v>7.3899999999999993E-2</v>
      </c>
      <c r="CD28" s="1">
        <v>0</v>
      </c>
      <c r="CE28" s="1">
        <v>0</v>
      </c>
      <c r="CF28" s="1">
        <v>0</v>
      </c>
      <c r="CG28" s="1">
        <v>0</v>
      </c>
      <c r="CH28" s="1">
        <v>8.3460000000000006E-2</v>
      </c>
      <c r="CI28" s="1">
        <v>0</v>
      </c>
      <c r="CJ28" s="1">
        <v>7.2080000000000005E-2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7.8380000000000005E-2</v>
      </c>
      <c r="CS28" s="1">
        <v>7.2910000000000003E-2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7.5600000000000001E-2</v>
      </c>
      <c r="DL28" s="1">
        <v>0</v>
      </c>
      <c r="DM28" s="1">
        <v>0</v>
      </c>
      <c r="DN28" s="1">
        <v>8.1900000000000001E-2</v>
      </c>
      <c r="DO28" s="1">
        <v>0</v>
      </c>
      <c r="DP28" s="1">
        <v>8.1600000000000006E-2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 t="s">
        <v>160</v>
      </c>
      <c r="DX28" s="1">
        <v>7.8799999999999995E-2</v>
      </c>
      <c r="DY28" s="1">
        <v>0</v>
      </c>
      <c r="DZ28" s="1">
        <v>0</v>
      </c>
    </row>
    <row r="29" spans="1:130" x14ac:dyDescent="0.3">
      <c r="A29" s="2" t="s">
        <v>180</v>
      </c>
      <c r="B29" s="1">
        <v>0.27725</v>
      </c>
      <c r="C29" s="1">
        <v>0.25240000000000001</v>
      </c>
      <c r="D29" s="1">
        <v>0.28142</v>
      </c>
      <c r="E29" s="1">
        <v>0.18865000000000001</v>
      </c>
      <c r="F29" s="1">
        <v>0.27016000000000001</v>
      </c>
      <c r="G29" s="1">
        <v>0.24510999999999999</v>
      </c>
      <c r="H29" s="1">
        <v>0.25063999999999997</v>
      </c>
      <c r="I29" s="1">
        <v>0</v>
      </c>
      <c r="J29" s="1">
        <v>0</v>
      </c>
      <c r="K29" s="1">
        <v>0.24215999999999999</v>
      </c>
      <c r="L29" s="1">
        <v>0.26845000000000002</v>
      </c>
      <c r="M29" s="1">
        <v>0.19228999999999999</v>
      </c>
      <c r="N29" s="1">
        <v>0.30282999999999999</v>
      </c>
      <c r="O29" s="1">
        <v>0</v>
      </c>
      <c r="P29" s="1">
        <v>0</v>
      </c>
      <c r="Q29" s="1">
        <v>0.24695</v>
      </c>
      <c r="R29" s="1">
        <v>0.24706</v>
      </c>
      <c r="S29" s="1">
        <v>0.26806000000000002</v>
      </c>
      <c r="T29" s="1">
        <v>0.2031</v>
      </c>
      <c r="U29" s="1">
        <v>0.30970999999999999</v>
      </c>
      <c r="V29" s="1">
        <v>0.29926999999999998</v>
      </c>
      <c r="W29" s="1">
        <v>0.21188000000000001</v>
      </c>
      <c r="X29" s="1">
        <v>0.31597999999999998</v>
      </c>
      <c r="Y29" s="1">
        <v>0.22305</v>
      </c>
      <c r="Z29" s="1">
        <v>0.23422000000000001</v>
      </c>
      <c r="AA29" s="1">
        <v>0.27243000000000001</v>
      </c>
      <c r="AB29" s="1">
        <v>0.29076000000000002</v>
      </c>
      <c r="AC29" s="1">
        <v>0.28938000000000003</v>
      </c>
      <c r="AD29" s="1">
        <v>0.30064000000000002</v>
      </c>
      <c r="AE29" s="1">
        <v>0</v>
      </c>
      <c r="AF29" s="1">
        <v>0.21959999999999999</v>
      </c>
      <c r="AG29" s="1">
        <v>0.23196</v>
      </c>
      <c r="AH29" s="1">
        <v>0.27256999999999998</v>
      </c>
      <c r="AI29" s="1">
        <v>0.25058000000000002</v>
      </c>
      <c r="AJ29" s="1">
        <v>0.23382</v>
      </c>
      <c r="AK29" s="1">
        <v>0</v>
      </c>
      <c r="AL29" s="1" t="s">
        <v>160</v>
      </c>
      <c r="AM29" s="1">
        <v>0.27611000000000002</v>
      </c>
      <c r="AN29" s="1">
        <v>0.24598999999999999</v>
      </c>
      <c r="AO29" s="1">
        <v>0</v>
      </c>
      <c r="AP29" s="1">
        <v>0.25795000000000001</v>
      </c>
      <c r="AQ29" s="1">
        <v>0.25878000000000001</v>
      </c>
      <c r="AR29" s="1">
        <v>0.28415000000000001</v>
      </c>
      <c r="AS29" s="1">
        <v>0.26695999999999998</v>
      </c>
      <c r="AT29" s="1">
        <v>0.2465</v>
      </c>
      <c r="AU29" s="1">
        <v>0.26808999999999999</v>
      </c>
      <c r="AV29" s="1">
        <v>0</v>
      </c>
      <c r="AW29" s="1">
        <v>0</v>
      </c>
      <c r="AX29" s="1">
        <v>0.25006</v>
      </c>
      <c r="AY29" s="1">
        <v>0.27947</v>
      </c>
      <c r="AZ29" s="1">
        <v>0.24673</v>
      </c>
      <c r="BA29" s="1">
        <v>0.24818999999999999</v>
      </c>
      <c r="BB29" s="1">
        <v>0.22633</v>
      </c>
      <c r="BC29" s="1">
        <v>0.28404000000000001</v>
      </c>
      <c r="BD29" s="1">
        <v>0.26524999999999999</v>
      </c>
      <c r="BE29" s="1">
        <v>0</v>
      </c>
      <c r="BF29" s="1">
        <v>0.24772</v>
      </c>
      <c r="BG29" s="1">
        <v>0.25186999999999998</v>
      </c>
      <c r="BH29" s="1">
        <v>0.22871</v>
      </c>
      <c r="BI29" s="1">
        <v>0</v>
      </c>
      <c r="BJ29" s="1">
        <v>0.27684999999999998</v>
      </c>
      <c r="BK29" s="1">
        <v>0</v>
      </c>
      <c r="BL29" s="1">
        <v>0.28444999999999998</v>
      </c>
      <c r="BM29" s="1">
        <v>0.26171</v>
      </c>
      <c r="BN29" s="1">
        <v>0.19691</v>
      </c>
      <c r="BO29" s="1">
        <v>0</v>
      </c>
      <c r="BP29" s="1">
        <v>0.22625000000000001</v>
      </c>
      <c r="BQ29" s="1">
        <v>0.26840999999999998</v>
      </c>
      <c r="BR29" s="1">
        <v>0.25495000000000001</v>
      </c>
      <c r="BS29" s="1">
        <v>0.22402</v>
      </c>
      <c r="BT29" s="1">
        <v>0.22775000000000001</v>
      </c>
      <c r="BU29" s="1">
        <v>0</v>
      </c>
      <c r="BV29" s="1">
        <v>0.21489</v>
      </c>
      <c r="BW29" s="1">
        <v>0.24922</v>
      </c>
      <c r="BX29" s="1">
        <v>0.22403000000000001</v>
      </c>
      <c r="BY29" s="1">
        <v>0.25717000000000001</v>
      </c>
      <c r="BZ29" s="1">
        <v>0</v>
      </c>
      <c r="CA29" s="1">
        <v>0</v>
      </c>
      <c r="CB29" s="1">
        <v>0.22850999999999999</v>
      </c>
      <c r="CC29" s="1">
        <v>0.22592000000000001</v>
      </c>
      <c r="CD29" s="1">
        <v>0</v>
      </c>
      <c r="CE29" s="1">
        <v>0</v>
      </c>
      <c r="CF29" s="1">
        <v>0.23646</v>
      </c>
      <c r="CG29" s="1">
        <v>0.25756000000000001</v>
      </c>
      <c r="CH29" s="1">
        <v>0</v>
      </c>
      <c r="CI29" s="1">
        <v>0.23027</v>
      </c>
      <c r="CJ29" s="1">
        <v>0</v>
      </c>
      <c r="CK29" s="1">
        <v>0.20508000000000001</v>
      </c>
      <c r="CL29" s="1">
        <v>0</v>
      </c>
      <c r="CM29" s="1">
        <v>0.20355000000000001</v>
      </c>
      <c r="CN29" s="1">
        <v>0</v>
      </c>
      <c r="CO29" s="1">
        <v>0.26140999999999998</v>
      </c>
      <c r="CP29" s="1">
        <v>0.24257999999999999</v>
      </c>
      <c r="CQ29" s="1">
        <v>0.25916</v>
      </c>
      <c r="CR29" s="1">
        <v>0.23974999999999999</v>
      </c>
      <c r="CS29" s="1">
        <v>0</v>
      </c>
      <c r="CT29" s="1">
        <v>0</v>
      </c>
      <c r="CU29" s="1">
        <v>0.25757999999999998</v>
      </c>
      <c r="CV29" s="1">
        <v>0.24829000000000001</v>
      </c>
      <c r="CW29" s="1">
        <v>0.23818</v>
      </c>
      <c r="CX29" s="1">
        <v>0</v>
      </c>
      <c r="CY29" s="1">
        <v>0.19298999999999999</v>
      </c>
      <c r="CZ29" s="1">
        <v>0.27700000000000002</v>
      </c>
      <c r="DA29" s="1">
        <v>0.25990000000000002</v>
      </c>
      <c r="DB29" s="1">
        <v>0.21779999999999999</v>
      </c>
      <c r="DC29" s="1">
        <v>0.23300000000000001</v>
      </c>
      <c r="DD29" s="1">
        <v>0.24729999999999999</v>
      </c>
      <c r="DE29" s="1">
        <v>0.24049999999999999</v>
      </c>
      <c r="DF29" s="1">
        <v>0.23960000000000001</v>
      </c>
      <c r="DG29" s="1">
        <v>0</v>
      </c>
      <c r="DH29" s="1">
        <v>0.2336</v>
      </c>
      <c r="DI29" s="1">
        <v>0.2072</v>
      </c>
      <c r="DJ29" s="1">
        <v>0</v>
      </c>
      <c r="DK29" s="1">
        <v>0.21859999999999999</v>
      </c>
      <c r="DL29" s="1">
        <v>0.24809999999999999</v>
      </c>
      <c r="DM29" s="1">
        <v>0.2525</v>
      </c>
      <c r="DN29" s="1">
        <v>0.24740000000000001</v>
      </c>
      <c r="DO29" s="1">
        <v>0.24859999999999999</v>
      </c>
      <c r="DP29" s="1">
        <v>0.2409</v>
      </c>
      <c r="DQ29" s="1">
        <v>0</v>
      </c>
      <c r="DR29" s="1">
        <v>0.27029999999999998</v>
      </c>
      <c r="DS29" s="1">
        <v>0.2923</v>
      </c>
      <c r="DT29" s="1">
        <v>0.27529999999999999</v>
      </c>
      <c r="DU29" s="1">
        <v>0.24809999999999999</v>
      </c>
      <c r="DV29" s="1">
        <v>0.23830000000000001</v>
      </c>
      <c r="DW29" s="1">
        <v>0.24390000000000001</v>
      </c>
      <c r="DX29" s="1">
        <v>0.2515</v>
      </c>
      <c r="DY29" s="1">
        <v>0.28670000000000001</v>
      </c>
      <c r="DZ29" s="1">
        <v>0.26750000000000002</v>
      </c>
    </row>
    <row r="30" spans="1:130" x14ac:dyDescent="0.3">
      <c r="A30" s="2" t="s">
        <v>181</v>
      </c>
      <c r="B30" s="1">
        <v>0</v>
      </c>
      <c r="C30" s="1">
        <v>0.63338000000000005</v>
      </c>
      <c r="D30" s="1">
        <v>0.55303000000000002</v>
      </c>
      <c r="E30" s="1">
        <v>0.48886000000000002</v>
      </c>
      <c r="F30" s="1">
        <v>0.59184999999999999</v>
      </c>
      <c r="G30" s="1">
        <v>0.68799999999999994</v>
      </c>
      <c r="H30" s="1">
        <v>0</v>
      </c>
      <c r="I30" s="1">
        <v>0.45778000000000002</v>
      </c>
      <c r="J30" s="1">
        <v>0.57015000000000005</v>
      </c>
      <c r="K30" s="1">
        <v>0.61221999999999999</v>
      </c>
      <c r="L30" s="1">
        <v>0.65495999999999999</v>
      </c>
      <c r="M30" s="1">
        <v>0.47336</v>
      </c>
      <c r="N30" s="1">
        <v>0.47031000000000001</v>
      </c>
      <c r="O30" s="1">
        <v>0.46642</v>
      </c>
      <c r="P30" s="1">
        <v>0.53927000000000003</v>
      </c>
      <c r="Q30" s="1">
        <v>0.57145999999999997</v>
      </c>
      <c r="R30" s="1">
        <v>0</v>
      </c>
      <c r="S30" s="1">
        <v>0.61824999999999997</v>
      </c>
      <c r="T30" s="1">
        <v>0.52447999999999995</v>
      </c>
      <c r="U30" s="1">
        <v>0</v>
      </c>
      <c r="V30" s="1">
        <v>0</v>
      </c>
      <c r="W30" s="1">
        <v>0.49245</v>
      </c>
      <c r="X30" s="1">
        <v>0</v>
      </c>
      <c r="Y30" s="1">
        <v>0.60238999999999998</v>
      </c>
      <c r="Z30" s="1">
        <v>0.59709999999999996</v>
      </c>
      <c r="AA30" s="1">
        <v>0.59791000000000005</v>
      </c>
      <c r="AB30" s="1">
        <v>0.71077999999999997</v>
      </c>
      <c r="AC30" s="1">
        <v>0.6331</v>
      </c>
      <c r="AD30" s="1">
        <v>0.57106999999999997</v>
      </c>
      <c r="AE30" s="1">
        <v>0</v>
      </c>
      <c r="AF30" s="1">
        <v>0.48935000000000001</v>
      </c>
      <c r="AG30" s="1">
        <v>0</v>
      </c>
      <c r="AH30" s="1">
        <v>0.64829999999999999</v>
      </c>
      <c r="AI30" s="1">
        <v>0.64195000000000002</v>
      </c>
      <c r="AJ30" s="1">
        <v>0.61046</v>
      </c>
      <c r="AK30" s="1">
        <v>0.52097000000000004</v>
      </c>
      <c r="AL30" s="1">
        <v>0</v>
      </c>
      <c r="AM30" s="1">
        <v>0</v>
      </c>
      <c r="AN30" s="1">
        <v>0</v>
      </c>
      <c r="AO30" s="1" t="s">
        <v>160</v>
      </c>
      <c r="AP30" s="1">
        <v>0</v>
      </c>
      <c r="AQ30" s="1">
        <v>0.60258999999999996</v>
      </c>
      <c r="AR30" s="1">
        <v>0</v>
      </c>
      <c r="AS30" s="1">
        <v>0.65146000000000004</v>
      </c>
      <c r="AT30" s="1">
        <v>0.6512</v>
      </c>
      <c r="AU30" s="1">
        <v>0.66163000000000005</v>
      </c>
      <c r="AV30" s="1">
        <v>0.68852999999999998</v>
      </c>
      <c r="AW30" s="1">
        <v>0.49930999999999998</v>
      </c>
      <c r="AX30" s="1">
        <v>0.58369000000000004</v>
      </c>
      <c r="AY30" s="1">
        <v>0.59904999999999997</v>
      </c>
      <c r="AZ30" s="1">
        <v>0.62838000000000005</v>
      </c>
      <c r="BA30" s="1">
        <v>0</v>
      </c>
      <c r="BB30" s="1">
        <v>0.52320999999999995</v>
      </c>
      <c r="BC30" s="1">
        <v>0</v>
      </c>
      <c r="BD30" s="1">
        <v>0</v>
      </c>
      <c r="BE30" s="1">
        <v>0</v>
      </c>
      <c r="BF30" s="1">
        <v>0.58330000000000004</v>
      </c>
      <c r="BG30" s="1">
        <v>0.59702</v>
      </c>
      <c r="BH30" s="1">
        <v>0.57899</v>
      </c>
      <c r="BI30" s="1">
        <v>0</v>
      </c>
      <c r="BJ30" s="1">
        <v>0</v>
      </c>
      <c r="BK30" s="1">
        <v>0.56169000000000002</v>
      </c>
      <c r="BL30" s="1">
        <v>0.69418000000000002</v>
      </c>
      <c r="BM30" s="1">
        <v>0</v>
      </c>
      <c r="BN30" s="1">
        <v>0</v>
      </c>
      <c r="BO30" s="1">
        <v>0.46177000000000001</v>
      </c>
      <c r="BP30" s="1">
        <v>0.53024000000000004</v>
      </c>
      <c r="BQ30" s="1">
        <v>0.66879</v>
      </c>
      <c r="BR30" s="1">
        <v>0.59458</v>
      </c>
      <c r="BS30" s="1">
        <v>0.6401</v>
      </c>
      <c r="BT30" s="1">
        <v>0.50856000000000001</v>
      </c>
      <c r="BU30" s="1">
        <v>0</v>
      </c>
      <c r="BV30" s="1">
        <v>0.51378999999999997</v>
      </c>
      <c r="BW30" s="1">
        <v>0</v>
      </c>
      <c r="BX30" s="1">
        <v>0.45465</v>
      </c>
      <c r="BY30" s="1">
        <v>0.49223</v>
      </c>
      <c r="BZ30" s="1">
        <v>0.51719999999999999</v>
      </c>
      <c r="CA30" s="1">
        <v>0</v>
      </c>
      <c r="CB30" s="1">
        <v>0.66579999999999995</v>
      </c>
      <c r="CC30" s="1">
        <v>0.54369999999999996</v>
      </c>
      <c r="CD30" s="1">
        <v>0</v>
      </c>
      <c r="CE30" s="1">
        <v>0.52032</v>
      </c>
      <c r="CF30" s="1">
        <v>0</v>
      </c>
      <c r="CG30" s="1">
        <v>0.64390000000000003</v>
      </c>
      <c r="CH30" s="1">
        <v>0</v>
      </c>
      <c r="CI30" s="1">
        <v>0.54020000000000001</v>
      </c>
      <c r="CJ30" s="1">
        <v>0.48443000000000003</v>
      </c>
      <c r="CK30" s="1">
        <v>0.49826999999999999</v>
      </c>
      <c r="CL30" s="1">
        <v>0.50034999999999996</v>
      </c>
      <c r="CM30" s="1">
        <v>0.49736000000000002</v>
      </c>
      <c r="CN30" s="1">
        <v>0</v>
      </c>
      <c r="CO30" s="1">
        <v>0.66566999999999998</v>
      </c>
      <c r="CP30" s="1">
        <v>0.60226000000000002</v>
      </c>
      <c r="CQ30" s="1">
        <v>0.63495999999999997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0.51404000000000005</v>
      </c>
      <c r="CX30" s="1">
        <v>0</v>
      </c>
      <c r="CY30" s="1">
        <v>0.46736</v>
      </c>
      <c r="CZ30" s="1">
        <v>0.67159999999999997</v>
      </c>
      <c r="DA30" s="1">
        <v>0</v>
      </c>
      <c r="DB30" s="1">
        <v>0.57020000000000004</v>
      </c>
      <c r="DC30" s="1">
        <v>0.62939999999999996</v>
      </c>
      <c r="DD30" s="1">
        <v>0</v>
      </c>
      <c r="DE30" s="1">
        <v>0</v>
      </c>
      <c r="DF30" s="1">
        <v>0.61180000000000001</v>
      </c>
      <c r="DG30" s="1">
        <v>0</v>
      </c>
      <c r="DH30" s="1">
        <v>0</v>
      </c>
      <c r="DI30" s="1">
        <v>0</v>
      </c>
      <c r="DJ30" s="1">
        <v>0</v>
      </c>
      <c r="DK30" s="1">
        <v>0.50039999999999996</v>
      </c>
      <c r="DL30" s="1">
        <v>0.59570000000000001</v>
      </c>
      <c r="DM30" s="1">
        <v>0</v>
      </c>
      <c r="DN30" s="1">
        <v>0.57699999999999996</v>
      </c>
      <c r="DO30" s="1">
        <v>0.62290000000000001</v>
      </c>
      <c r="DP30" s="1" t="s">
        <v>160</v>
      </c>
      <c r="DQ30" s="1">
        <v>0.56069999999999998</v>
      </c>
      <c r="DR30" s="1">
        <v>0.51139999999999997</v>
      </c>
      <c r="DS30" s="1">
        <v>0</v>
      </c>
      <c r="DT30" s="1">
        <v>0.5121</v>
      </c>
      <c r="DU30" s="1">
        <v>0.64229999999999998</v>
      </c>
      <c r="DV30" s="1">
        <v>0.57110000000000005</v>
      </c>
      <c r="DW30" s="1">
        <v>0</v>
      </c>
      <c r="DX30" s="1">
        <v>0.54620000000000002</v>
      </c>
      <c r="DY30" s="1">
        <v>0.56999999999999995</v>
      </c>
      <c r="DZ30" s="1">
        <v>0.52249999999999996</v>
      </c>
    </row>
    <row r="31" spans="1:130" x14ac:dyDescent="0.3">
      <c r="A31" s="2" t="s">
        <v>182</v>
      </c>
      <c r="B31" s="1">
        <v>0.11554</v>
      </c>
      <c r="C31" s="1">
        <v>0.11774999999999999</v>
      </c>
      <c r="D31" s="1">
        <v>0</v>
      </c>
      <c r="E31" s="1">
        <v>8.2720000000000002E-2</v>
      </c>
      <c r="F31" s="1">
        <v>0.11384</v>
      </c>
      <c r="G31" s="1">
        <v>0.11411</v>
      </c>
      <c r="H31" s="1">
        <v>0.11594</v>
      </c>
      <c r="I31" s="1">
        <v>8.2879999999999995E-2</v>
      </c>
      <c r="J31" s="1">
        <v>0</v>
      </c>
      <c r="K31" s="1">
        <v>0.11303000000000001</v>
      </c>
      <c r="L31" s="1">
        <v>0.11305</v>
      </c>
      <c r="M31" s="1">
        <v>0</v>
      </c>
      <c r="N31" s="1">
        <v>0</v>
      </c>
      <c r="O31" s="1">
        <v>0</v>
      </c>
      <c r="P31" s="1">
        <v>0</v>
      </c>
      <c r="Q31" s="1">
        <v>0.10192</v>
      </c>
      <c r="R31" s="1">
        <v>0.1055</v>
      </c>
      <c r="S31" s="1">
        <v>0.10599</v>
      </c>
      <c r="T31" s="1">
        <v>8.3580000000000002E-2</v>
      </c>
      <c r="U31" s="1">
        <v>0</v>
      </c>
      <c r="V31" s="1">
        <v>0</v>
      </c>
      <c r="W31" s="1">
        <v>8.8639999999999997E-2</v>
      </c>
      <c r="X31" s="1">
        <v>0</v>
      </c>
      <c r="Y31" s="1">
        <v>0.10169</v>
      </c>
      <c r="Z31" s="1">
        <v>9.9750000000000005E-2</v>
      </c>
      <c r="AA31" s="1">
        <v>0.11482000000000001</v>
      </c>
      <c r="AB31" s="1">
        <v>0.11511</v>
      </c>
      <c r="AC31" s="1">
        <v>0.10979</v>
      </c>
      <c r="AD31" s="1">
        <v>0</v>
      </c>
      <c r="AE31" s="1">
        <v>0</v>
      </c>
      <c r="AF31" s="1">
        <v>0</v>
      </c>
      <c r="AG31" s="1">
        <v>0.11272</v>
      </c>
      <c r="AH31" s="1">
        <v>0.11294999999999999</v>
      </c>
      <c r="AI31" s="1">
        <v>0.10067</v>
      </c>
      <c r="AJ31" s="1">
        <v>0.11133999999999999</v>
      </c>
      <c r="AK31" s="1">
        <v>0</v>
      </c>
      <c r="AL31" s="1">
        <v>8.9590000000000003E-2</v>
      </c>
      <c r="AM31" s="1">
        <v>0.10833</v>
      </c>
      <c r="AN31" s="1">
        <v>0.10456</v>
      </c>
      <c r="AO31" s="1">
        <v>0</v>
      </c>
      <c r="AP31" s="1">
        <v>0.10489999999999999</v>
      </c>
      <c r="AQ31" s="1">
        <v>0.10274999999999999</v>
      </c>
      <c r="AR31" s="1">
        <v>0.11772000000000001</v>
      </c>
      <c r="AS31" s="1">
        <v>0.11512</v>
      </c>
      <c r="AT31" s="1">
        <v>0</v>
      </c>
      <c r="AU31" s="1">
        <v>0</v>
      </c>
      <c r="AV31" s="1">
        <v>0</v>
      </c>
      <c r="AW31" s="1">
        <v>0</v>
      </c>
      <c r="AX31" s="1">
        <v>0.10017</v>
      </c>
      <c r="AY31" s="1">
        <v>0.11015999999999999</v>
      </c>
      <c r="AZ31" s="1">
        <v>0.10126</v>
      </c>
      <c r="BA31" s="1">
        <v>0.10971</v>
      </c>
      <c r="BB31" s="1">
        <v>9.0359999999999996E-2</v>
      </c>
      <c r="BC31" s="1">
        <v>0</v>
      </c>
      <c r="BD31" s="1">
        <v>0</v>
      </c>
      <c r="BE31" s="1">
        <v>0</v>
      </c>
      <c r="BF31" s="1">
        <v>0.10154000000000001</v>
      </c>
      <c r="BG31" s="1">
        <v>0.10385999999999999</v>
      </c>
      <c r="BH31" s="1">
        <v>9.8949999999999996E-2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8.8359999999999994E-2</v>
      </c>
      <c r="BO31" s="1">
        <v>0</v>
      </c>
      <c r="BP31" s="1">
        <v>0</v>
      </c>
      <c r="BQ31" s="1">
        <v>0.11022999999999999</v>
      </c>
      <c r="BR31" s="1">
        <v>0.1071</v>
      </c>
      <c r="BS31" s="1">
        <v>0.107</v>
      </c>
      <c r="BT31" s="1">
        <v>8.1839999999999996E-2</v>
      </c>
      <c r="BU31" s="1">
        <v>0</v>
      </c>
      <c r="BV31" s="1">
        <v>0</v>
      </c>
      <c r="BW31" s="1">
        <v>0.113</v>
      </c>
      <c r="BX31" s="1">
        <v>0</v>
      </c>
      <c r="BY31" s="1">
        <v>0</v>
      </c>
      <c r="BZ31" s="1">
        <v>0</v>
      </c>
      <c r="CA31" s="1">
        <v>0</v>
      </c>
      <c r="CB31" s="1">
        <v>0.10235</v>
      </c>
      <c r="CC31" s="1">
        <v>9.5299999999999996E-2</v>
      </c>
      <c r="CD31" s="1">
        <v>0</v>
      </c>
      <c r="CE31" s="1">
        <v>0</v>
      </c>
      <c r="CF31" s="1">
        <v>0</v>
      </c>
      <c r="CG31" s="1">
        <v>0.113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0.11903</v>
      </c>
      <c r="CP31" s="1">
        <v>0.10153</v>
      </c>
      <c r="CQ31" s="1">
        <v>0.11255</v>
      </c>
      <c r="CR31" s="1">
        <v>0</v>
      </c>
      <c r="CS31" s="1">
        <v>8.6919999999999997E-2</v>
      </c>
      <c r="CT31" s="1">
        <v>0</v>
      </c>
      <c r="CU31" s="1">
        <v>0.1011</v>
      </c>
      <c r="CV31" s="1">
        <v>0.10066</v>
      </c>
      <c r="CW31" s="1">
        <v>0</v>
      </c>
      <c r="CX31" s="1">
        <v>0</v>
      </c>
      <c r="CY31" s="1">
        <v>0</v>
      </c>
      <c r="CZ31" s="1">
        <v>0.1115</v>
      </c>
      <c r="DA31" s="1">
        <v>0.10440000000000001</v>
      </c>
      <c r="DB31" s="1">
        <v>0</v>
      </c>
      <c r="DC31" s="1">
        <v>0.1019</v>
      </c>
      <c r="DD31" s="1">
        <v>0.10730000000000001</v>
      </c>
      <c r="DE31" s="1">
        <v>9.3700000000000006E-2</v>
      </c>
      <c r="DF31" s="1">
        <v>0.1036</v>
      </c>
      <c r="DG31" s="1">
        <v>0</v>
      </c>
      <c r="DH31" s="1">
        <v>8.8499999999999995E-2</v>
      </c>
      <c r="DI31" s="1">
        <v>0</v>
      </c>
      <c r="DJ31" s="1">
        <v>0</v>
      </c>
      <c r="DK31" s="1">
        <v>0</v>
      </c>
      <c r="DL31" s="1">
        <v>9.64E-2</v>
      </c>
      <c r="DM31" s="1">
        <v>0.1125</v>
      </c>
      <c r="DN31" s="1">
        <v>9.8900000000000002E-2</v>
      </c>
      <c r="DO31" s="1">
        <v>9.7500000000000003E-2</v>
      </c>
      <c r="DP31" s="1">
        <v>0.10009999999999999</v>
      </c>
      <c r="DQ31" s="1">
        <v>0</v>
      </c>
      <c r="DR31" s="1">
        <v>0</v>
      </c>
      <c r="DS31" s="1">
        <v>0</v>
      </c>
      <c r="DT31" s="1">
        <v>0</v>
      </c>
      <c r="DU31" s="1">
        <v>0.1128</v>
      </c>
      <c r="DV31" s="1">
        <v>9.9900000000000003E-2</v>
      </c>
      <c r="DW31" s="1">
        <v>9.9500000000000005E-2</v>
      </c>
      <c r="DX31" s="1">
        <v>9.6299999999999997E-2</v>
      </c>
      <c r="DY31" s="1">
        <v>0</v>
      </c>
      <c r="DZ31" s="1">
        <v>0</v>
      </c>
    </row>
    <row r="32" spans="1:130" x14ac:dyDescent="0.3">
      <c r="A32" s="2" t="s">
        <v>183</v>
      </c>
      <c r="B32" s="1">
        <v>0.12820000000000001</v>
      </c>
      <c r="C32" s="1">
        <v>0.12067</v>
      </c>
      <c r="D32" s="1">
        <v>0</v>
      </c>
      <c r="E32" s="1">
        <v>0</v>
      </c>
      <c r="F32" s="1">
        <v>0.12575</v>
      </c>
      <c r="G32" s="1">
        <v>0.12492</v>
      </c>
      <c r="H32" s="1">
        <v>0.12523000000000001</v>
      </c>
      <c r="I32" s="1">
        <v>0</v>
      </c>
      <c r="J32" s="1">
        <v>0</v>
      </c>
      <c r="K32" s="1">
        <v>0.12522</v>
      </c>
      <c r="L32" s="1">
        <v>0.12548999999999999</v>
      </c>
      <c r="M32" s="1">
        <v>0</v>
      </c>
      <c r="N32" s="1">
        <v>0</v>
      </c>
      <c r="O32" s="1">
        <v>9.1869999999999993E-2</v>
      </c>
      <c r="P32" s="1">
        <v>0.10092</v>
      </c>
      <c r="Q32" s="1">
        <v>0.11269999999999999</v>
      </c>
      <c r="R32" s="1">
        <v>0.11924</v>
      </c>
      <c r="S32" s="1">
        <v>0.11408</v>
      </c>
      <c r="T32" s="1">
        <v>8.8209999999999997E-2</v>
      </c>
      <c r="U32" s="1">
        <v>0</v>
      </c>
      <c r="V32" s="1">
        <v>0</v>
      </c>
      <c r="W32" s="1">
        <v>9.6240000000000006E-2</v>
      </c>
      <c r="X32" s="1">
        <v>0</v>
      </c>
      <c r="Y32" s="1">
        <v>0.11171</v>
      </c>
      <c r="Z32" s="1">
        <v>0.11047999999999999</v>
      </c>
      <c r="AA32" s="1">
        <v>0.12246</v>
      </c>
      <c r="AB32" s="1">
        <v>0.12642</v>
      </c>
      <c r="AC32" s="1">
        <v>0.12051000000000001</v>
      </c>
      <c r="AD32" s="1">
        <v>9.7750000000000004E-2</v>
      </c>
      <c r="AE32" s="1">
        <v>9.7780000000000006E-2</v>
      </c>
      <c r="AF32" s="1">
        <v>0</v>
      </c>
      <c r="AG32" s="1">
        <v>0.12723000000000001</v>
      </c>
      <c r="AH32" s="1">
        <v>0.12167</v>
      </c>
      <c r="AI32" s="1">
        <v>0.11355999999999999</v>
      </c>
      <c r="AJ32" s="1">
        <v>0.10355</v>
      </c>
      <c r="AK32" s="1">
        <v>9.8419999999999994E-2</v>
      </c>
      <c r="AL32" s="1">
        <v>0</v>
      </c>
      <c r="AM32" s="1">
        <v>0.10606</v>
      </c>
      <c r="AN32" s="1">
        <v>0.11464000000000001</v>
      </c>
      <c r="AO32" s="1">
        <v>8.3339999999999997E-2</v>
      </c>
      <c r="AP32" s="1">
        <v>0.10451000000000001</v>
      </c>
      <c r="AQ32" s="1">
        <v>0.11609999999999999</v>
      </c>
      <c r="AR32" s="1">
        <v>0.12726999999999999</v>
      </c>
      <c r="AS32" s="1">
        <v>0.12576000000000001</v>
      </c>
      <c r="AT32" s="1">
        <v>0</v>
      </c>
      <c r="AU32" s="1">
        <v>0.12606999999999999</v>
      </c>
      <c r="AV32" s="1">
        <v>0</v>
      </c>
      <c r="AW32" s="1">
        <v>9.5100000000000004E-2</v>
      </c>
      <c r="AX32" s="1">
        <v>0.11484999999999999</v>
      </c>
      <c r="AY32" s="1">
        <v>0.10759000000000001</v>
      </c>
      <c r="AZ32" s="1">
        <v>0.11545999999999999</v>
      </c>
      <c r="BA32" s="1">
        <v>0.1067</v>
      </c>
      <c r="BB32" s="1">
        <v>0</v>
      </c>
      <c r="BC32" s="1">
        <v>0.1246</v>
      </c>
      <c r="BD32" s="1">
        <v>0</v>
      </c>
      <c r="BE32" s="1">
        <v>0.12623000000000001</v>
      </c>
      <c r="BF32" s="1">
        <v>0.11623</v>
      </c>
      <c r="BG32" s="1">
        <v>0.11236</v>
      </c>
      <c r="BH32" s="1">
        <v>0.11289</v>
      </c>
      <c r="BI32" s="1">
        <v>0.10202</v>
      </c>
      <c r="BJ32" s="1">
        <v>0.11745</v>
      </c>
      <c r="BK32" s="1">
        <v>0</v>
      </c>
      <c r="BL32" s="1">
        <v>0.13078000000000001</v>
      </c>
      <c r="BM32" s="1">
        <v>0.12547</v>
      </c>
      <c r="BN32" s="1">
        <v>9.6490000000000006E-2</v>
      </c>
      <c r="BO32" s="1">
        <v>0</v>
      </c>
      <c r="BP32" s="1">
        <v>9.8610000000000003E-2</v>
      </c>
      <c r="BQ32" s="1">
        <v>0.12484000000000001</v>
      </c>
      <c r="BR32" s="1">
        <v>0.11756999999999999</v>
      </c>
      <c r="BS32" s="1">
        <v>0.11708</v>
      </c>
      <c r="BT32" s="1">
        <v>0</v>
      </c>
      <c r="BU32" s="1">
        <v>9.6619999999999998E-2</v>
      </c>
      <c r="BV32" s="1">
        <v>9.1980000000000006E-2</v>
      </c>
      <c r="BW32" s="1">
        <v>0.12497</v>
      </c>
      <c r="BX32" s="1">
        <v>0</v>
      </c>
      <c r="BY32" s="1">
        <v>9.9940000000000001E-2</v>
      </c>
      <c r="BZ32" s="1">
        <v>9.3380000000000005E-2</v>
      </c>
      <c r="CA32" s="1">
        <v>9.6119999999999997E-2</v>
      </c>
      <c r="CB32" s="1">
        <v>0.11638</v>
      </c>
      <c r="CC32" s="1">
        <v>9.3590000000000007E-2</v>
      </c>
      <c r="CD32" s="1">
        <v>0</v>
      </c>
      <c r="CE32" s="1">
        <v>9.2439999999999994E-2</v>
      </c>
      <c r="CF32" s="1">
        <v>0</v>
      </c>
      <c r="CG32" s="1">
        <v>0.12062</v>
      </c>
      <c r="CH32" s="1">
        <v>0.1037</v>
      </c>
      <c r="CI32" s="1">
        <v>0</v>
      </c>
      <c r="CJ32" s="1">
        <v>9.2410000000000006E-2</v>
      </c>
      <c r="CK32" s="1">
        <v>0.10124</v>
      </c>
      <c r="CL32" s="1">
        <v>9.5009999999999997E-2</v>
      </c>
      <c r="CM32" s="1">
        <v>0</v>
      </c>
      <c r="CN32" s="1">
        <v>9.7449999999999995E-2</v>
      </c>
      <c r="CO32" s="1">
        <v>0.13139000000000001</v>
      </c>
      <c r="CP32" s="1">
        <v>0.11237</v>
      </c>
      <c r="CQ32" s="1">
        <v>0.12028</v>
      </c>
      <c r="CR32" s="1">
        <v>0.10094</v>
      </c>
      <c r="CS32" s="1">
        <v>0</v>
      </c>
      <c r="CT32" s="1">
        <v>9.7049999999999997E-2</v>
      </c>
      <c r="CU32" s="1">
        <v>0.11846</v>
      </c>
      <c r="CV32" s="1">
        <v>0.10977000000000001</v>
      </c>
      <c r="CW32" s="1">
        <v>9.3670000000000003E-2</v>
      </c>
      <c r="CX32" s="1">
        <v>0</v>
      </c>
      <c r="CY32" s="1">
        <v>9.2249999999999999E-2</v>
      </c>
      <c r="CZ32" s="1">
        <v>0.1245</v>
      </c>
      <c r="DA32" s="1">
        <v>0.112</v>
      </c>
      <c r="DB32" s="1">
        <v>0.1036</v>
      </c>
      <c r="DC32" s="1">
        <v>0.1086</v>
      </c>
      <c r="DD32" s="1">
        <v>0.1235</v>
      </c>
      <c r="DE32" s="1">
        <v>0.1062</v>
      </c>
      <c r="DF32" s="1">
        <v>0.1157</v>
      </c>
      <c r="DG32" s="1">
        <v>9.8699999999999996E-2</v>
      </c>
      <c r="DH32" s="1">
        <v>9.6000000000000002E-2</v>
      </c>
      <c r="DI32" s="1">
        <v>0</v>
      </c>
      <c r="DJ32" s="1">
        <v>0</v>
      </c>
      <c r="DK32" s="1">
        <v>0</v>
      </c>
      <c r="DL32" s="1">
        <v>0.10879999999999999</v>
      </c>
      <c r="DM32" s="1">
        <v>0.1226</v>
      </c>
      <c r="DN32" s="1">
        <v>0.1072</v>
      </c>
      <c r="DO32" s="1">
        <v>0.10929999999999999</v>
      </c>
      <c r="DP32" s="1">
        <v>0.10340000000000001</v>
      </c>
      <c r="DQ32" s="1" t="s">
        <v>160</v>
      </c>
      <c r="DR32" s="1">
        <v>0.1</v>
      </c>
      <c r="DS32" s="1">
        <v>0</v>
      </c>
      <c r="DT32" s="1">
        <v>0</v>
      </c>
      <c r="DU32" s="1">
        <v>0.1242</v>
      </c>
      <c r="DV32" s="1">
        <v>0.10680000000000001</v>
      </c>
      <c r="DW32" s="1">
        <v>0.1053</v>
      </c>
      <c r="DX32" s="1">
        <v>0.10249999999999999</v>
      </c>
      <c r="DY32" s="1">
        <v>0</v>
      </c>
      <c r="DZ32" s="1">
        <v>9.5000000000000001E-2</v>
      </c>
    </row>
    <row r="33" spans="1:130" x14ac:dyDescent="0.3">
      <c r="A33" s="2" t="s">
        <v>184</v>
      </c>
      <c r="B33" s="1">
        <v>0.13284000000000001</v>
      </c>
      <c r="C33" s="1">
        <v>0.12701000000000001</v>
      </c>
      <c r="D33" s="1">
        <v>9.7629999999999995E-2</v>
      </c>
      <c r="E33" s="1">
        <v>0</v>
      </c>
      <c r="F33" s="1">
        <v>0.13356000000000001</v>
      </c>
      <c r="G33" s="1">
        <v>0.13674</v>
      </c>
      <c r="H33" s="1">
        <v>0.12884999999999999</v>
      </c>
      <c r="I33" s="1">
        <v>0</v>
      </c>
      <c r="J33" s="1">
        <v>0</v>
      </c>
      <c r="K33" s="1">
        <v>0.13039000000000001</v>
      </c>
      <c r="L33" s="1">
        <v>0</v>
      </c>
      <c r="M33" s="1">
        <v>9.3329999999999996E-2</v>
      </c>
      <c r="N33" s="1">
        <v>0.10344</v>
      </c>
      <c r="O33" s="1">
        <v>9.6250000000000002E-2</v>
      </c>
      <c r="P33" s="1">
        <v>0.10657</v>
      </c>
      <c r="Q33" s="1">
        <v>0.11691</v>
      </c>
      <c r="R33" s="1">
        <v>0.12828999999999999</v>
      </c>
      <c r="S33" s="1">
        <v>0.11631</v>
      </c>
      <c r="T33" s="1">
        <v>9.4920000000000004E-2</v>
      </c>
      <c r="U33" s="1">
        <v>0</v>
      </c>
      <c r="V33" s="1">
        <v>0</v>
      </c>
      <c r="W33" s="1">
        <v>9.7890000000000005E-2</v>
      </c>
      <c r="X33" s="1">
        <v>0</v>
      </c>
      <c r="Y33" s="1">
        <v>0.11716</v>
      </c>
      <c r="Z33" s="1">
        <v>0.11466</v>
      </c>
      <c r="AA33" s="1">
        <v>0.12659000000000001</v>
      </c>
      <c r="AB33" s="1">
        <v>0.13541</v>
      </c>
      <c r="AC33" s="1">
        <v>0.12981999999999999</v>
      </c>
      <c r="AD33" s="1">
        <v>0.10299999999999999</v>
      </c>
      <c r="AE33" s="1">
        <v>9.8570000000000005E-2</v>
      </c>
      <c r="AF33" s="1">
        <v>0</v>
      </c>
      <c r="AG33" s="1">
        <v>0.13278999999999999</v>
      </c>
      <c r="AH33" s="1">
        <v>0.12640000000000001</v>
      </c>
      <c r="AI33" s="1">
        <v>0.11945</v>
      </c>
      <c r="AJ33" s="1">
        <v>0.10924</v>
      </c>
      <c r="AK33" s="1">
        <v>0.10048</v>
      </c>
      <c r="AL33" s="1">
        <v>0.10067</v>
      </c>
      <c r="AM33" s="1">
        <v>0.11534999999999999</v>
      </c>
      <c r="AN33" s="1">
        <v>0.12298000000000001</v>
      </c>
      <c r="AO33" s="1">
        <v>8.7429999999999994E-2</v>
      </c>
      <c r="AP33" s="1">
        <v>0.11329</v>
      </c>
      <c r="AQ33" s="1">
        <v>0.11917999999999999</v>
      </c>
      <c r="AR33" s="1">
        <v>0.13188</v>
      </c>
      <c r="AS33" s="1">
        <v>0</v>
      </c>
      <c r="AT33" s="1">
        <v>0</v>
      </c>
      <c r="AU33" s="1">
        <v>0</v>
      </c>
      <c r="AV33" s="1">
        <v>0.13655</v>
      </c>
      <c r="AW33" s="1">
        <v>9.5589999999999994E-2</v>
      </c>
      <c r="AX33" s="1">
        <v>0.11548</v>
      </c>
      <c r="AY33" s="1">
        <v>0.11126999999999999</v>
      </c>
      <c r="AZ33" s="1">
        <v>0.11846</v>
      </c>
      <c r="BA33" s="1">
        <v>0.10967</v>
      </c>
      <c r="BB33" s="1">
        <v>0</v>
      </c>
      <c r="BC33" s="1">
        <v>0</v>
      </c>
      <c r="BD33" s="1">
        <v>0.13494</v>
      </c>
      <c r="BE33" s="1">
        <v>0</v>
      </c>
      <c r="BF33" s="1">
        <v>0.11853</v>
      </c>
      <c r="BG33" s="1">
        <v>0.12407</v>
      </c>
      <c r="BH33" s="1">
        <v>0.11583</v>
      </c>
      <c r="BI33" s="1">
        <v>0</v>
      </c>
      <c r="BJ33" s="1">
        <v>0.12751000000000001</v>
      </c>
      <c r="BK33" s="1">
        <v>9.9059999999999995E-2</v>
      </c>
      <c r="BL33" s="1">
        <v>0.13772999999999999</v>
      </c>
      <c r="BM33" s="1">
        <v>0</v>
      </c>
      <c r="BN33" s="1">
        <v>0</v>
      </c>
      <c r="BO33" s="1">
        <v>0</v>
      </c>
      <c r="BP33" s="1">
        <v>0</v>
      </c>
      <c r="BQ33" s="1">
        <v>0.13503999999999999</v>
      </c>
      <c r="BR33" s="1">
        <v>0</v>
      </c>
      <c r="BS33" s="1">
        <v>0</v>
      </c>
      <c r="BT33" s="1">
        <v>9.844E-2</v>
      </c>
      <c r="BU33" s="1">
        <v>0</v>
      </c>
      <c r="BV33" s="1">
        <v>0</v>
      </c>
      <c r="BW33" s="1">
        <v>0.13363</v>
      </c>
      <c r="BX33" s="1">
        <v>9.9299999999999999E-2</v>
      </c>
      <c r="BY33" s="1">
        <v>0</v>
      </c>
      <c r="BZ33" s="1">
        <v>0</v>
      </c>
      <c r="CA33" s="1">
        <v>0</v>
      </c>
      <c r="CB33" s="1">
        <v>0.11985999999999999</v>
      </c>
      <c r="CC33" s="1">
        <v>9.6769999999999995E-2</v>
      </c>
      <c r="CD33" s="1">
        <v>0</v>
      </c>
      <c r="CE33" s="1">
        <v>9.8470000000000002E-2</v>
      </c>
      <c r="CF33" s="1">
        <v>0.10467</v>
      </c>
      <c r="CG33" s="1">
        <v>0.12573999999999999</v>
      </c>
      <c r="CH33" s="1">
        <v>0</v>
      </c>
      <c r="CI33" s="1">
        <v>0</v>
      </c>
      <c r="CJ33" s="1">
        <v>9.4659999999999994E-2</v>
      </c>
      <c r="CK33" s="1">
        <v>0</v>
      </c>
      <c r="CL33" s="1">
        <v>0</v>
      </c>
      <c r="CM33" s="1">
        <v>0</v>
      </c>
      <c r="CN33" s="1">
        <v>0.10123</v>
      </c>
      <c r="CO33" s="1">
        <v>0.13779</v>
      </c>
      <c r="CP33" s="1">
        <v>0.11719</v>
      </c>
      <c r="CQ33" s="1">
        <v>0.12539</v>
      </c>
      <c r="CR33" s="1">
        <v>0.11021</v>
      </c>
      <c r="CS33" s="1">
        <v>0.10125000000000001</v>
      </c>
      <c r="CT33" s="1">
        <v>0</v>
      </c>
      <c r="CU33" s="1">
        <v>0.12589</v>
      </c>
      <c r="CV33" s="1">
        <v>0.11889</v>
      </c>
      <c r="CW33" s="1">
        <v>9.7369999999999998E-2</v>
      </c>
      <c r="CX33" s="1">
        <v>0</v>
      </c>
      <c r="CY33" s="1">
        <v>9.7059999999999994E-2</v>
      </c>
      <c r="CZ33" s="1">
        <v>0.1265</v>
      </c>
      <c r="DA33" s="1">
        <v>0.1148</v>
      </c>
      <c r="DB33" s="1">
        <v>0</v>
      </c>
      <c r="DC33" s="1">
        <v>0.1193</v>
      </c>
      <c r="DD33" s="1">
        <v>0.12479999999999999</v>
      </c>
      <c r="DE33" s="1">
        <v>0.1099</v>
      </c>
      <c r="DF33" s="1">
        <v>0.1171</v>
      </c>
      <c r="DG33" s="1">
        <v>0.1031</v>
      </c>
      <c r="DH33" s="1">
        <v>9.9900000000000003E-2</v>
      </c>
      <c r="DI33" s="1">
        <v>9.8799999999999999E-2</v>
      </c>
      <c r="DJ33" s="1">
        <v>9.9699999999999997E-2</v>
      </c>
      <c r="DK33" s="1">
        <v>0</v>
      </c>
      <c r="DL33" s="1">
        <v>0.1118</v>
      </c>
      <c r="DM33" s="1">
        <v>0.12909999999999999</v>
      </c>
      <c r="DN33" s="1">
        <v>0.1201</v>
      </c>
      <c r="DO33" s="1">
        <v>0.11609999999999999</v>
      </c>
      <c r="DP33" s="1">
        <v>0.11020000000000001</v>
      </c>
      <c r="DQ33" s="1">
        <v>0</v>
      </c>
      <c r="DR33" s="1">
        <v>0</v>
      </c>
      <c r="DS33" s="1">
        <v>0</v>
      </c>
      <c r="DT33" s="1">
        <v>0</v>
      </c>
      <c r="DU33" s="1">
        <v>0.1265</v>
      </c>
      <c r="DV33" s="1">
        <v>0.1191</v>
      </c>
      <c r="DW33" s="1">
        <v>0.11210000000000001</v>
      </c>
      <c r="DX33" s="1">
        <v>0.1071</v>
      </c>
      <c r="DY33" s="1">
        <v>0</v>
      </c>
      <c r="DZ33" s="1">
        <v>0</v>
      </c>
    </row>
    <row r="34" spans="1:130" x14ac:dyDescent="0.3">
      <c r="A34" s="2" t="s">
        <v>185</v>
      </c>
      <c r="B34" s="1">
        <v>8.659E-2</v>
      </c>
      <c r="C34" s="1">
        <v>8.6690000000000003E-2</v>
      </c>
      <c r="D34" s="1">
        <v>0</v>
      </c>
      <c r="E34" s="1">
        <v>6.3070000000000001E-2</v>
      </c>
      <c r="F34" s="1">
        <v>8.5800000000000001E-2</v>
      </c>
      <c r="G34" s="1">
        <v>8.9770000000000003E-2</v>
      </c>
      <c r="H34" s="1">
        <v>8.6879999999999999E-2</v>
      </c>
      <c r="I34" s="1">
        <v>0</v>
      </c>
      <c r="J34" s="1">
        <v>6.9900000000000004E-2</v>
      </c>
      <c r="K34" s="1">
        <v>0</v>
      </c>
      <c r="L34" s="1">
        <v>8.7319999999999995E-2</v>
      </c>
      <c r="M34" s="1">
        <v>0</v>
      </c>
      <c r="N34" s="1">
        <v>7.0379999999999998E-2</v>
      </c>
      <c r="O34" s="1">
        <v>0</v>
      </c>
      <c r="P34" s="1">
        <v>6.2950000000000006E-2</v>
      </c>
      <c r="Q34" s="1">
        <v>8.022E-2</v>
      </c>
      <c r="R34" s="1">
        <v>7.3029999999999998E-2</v>
      </c>
      <c r="S34" s="1">
        <v>7.7770000000000006E-2</v>
      </c>
      <c r="T34" s="1">
        <v>0</v>
      </c>
      <c r="U34" s="1" t="s">
        <v>160</v>
      </c>
      <c r="V34" s="1">
        <v>0</v>
      </c>
      <c r="W34" s="1">
        <v>0</v>
      </c>
      <c r="X34" s="1">
        <v>7.0449999999999999E-2</v>
      </c>
      <c r="Y34" s="1">
        <v>0</v>
      </c>
      <c r="Z34" s="1">
        <v>7.603E-2</v>
      </c>
      <c r="AA34" s="1">
        <v>7.7340000000000006E-2</v>
      </c>
      <c r="AB34" s="1">
        <v>8.5279999999999995E-2</v>
      </c>
      <c r="AC34" s="1">
        <v>8.4409999999999999E-2</v>
      </c>
      <c r="AD34" s="1">
        <v>0</v>
      </c>
      <c r="AE34" s="1">
        <v>6.7470000000000002E-2</v>
      </c>
      <c r="AF34" s="1">
        <v>0</v>
      </c>
      <c r="AG34" s="1">
        <v>8.8279999999999997E-2</v>
      </c>
      <c r="AH34" s="1">
        <v>9.3899999999999997E-2</v>
      </c>
      <c r="AI34" s="1">
        <v>7.8649999999999998E-2</v>
      </c>
      <c r="AJ34" s="1">
        <v>7.5649999999999995E-2</v>
      </c>
      <c r="AK34" s="1">
        <v>6.6780000000000006E-2</v>
      </c>
      <c r="AL34" s="1">
        <v>6.4449999999999993E-2</v>
      </c>
      <c r="AM34" s="1">
        <v>7.467E-2</v>
      </c>
      <c r="AN34" s="1">
        <v>7.6179999999999998E-2</v>
      </c>
      <c r="AO34" s="1">
        <v>6.1510000000000002E-2</v>
      </c>
      <c r="AP34" s="1">
        <v>7.2309999999999999E-2</v>
      </c>
      <c r="AQ34" s="1">
        <v>7.4730000000000005E-2</v>
      </c>
      <c r="AR34" s="1">
        <v>0.10545</v>
      </c>
      <c r="AS34" s="1">
        <v>0.10731</v>
      </c>
      <c r="AT34" s="1">
        <v>0.10362</v>
      </c>
      <c r="AU34" s="1">
        <v>8.2710000000000006E-2</v>
      </c>
      <c r="AV34" s="1">
        <v>8.8929999999999995E-2</v>
      </c>
      <c r="AW34" s="1">
        <v>0</v>
      </c>
      <c r="AX34" s="1">
        <v>7.8299999999999995E-2</v>
      </c>
      <c r="AY34" s="1">
        <v>7.6550000000000007E-2</v>
      </c>
      <c r="AZ34" s="1">
        <v>8.1799999999999998E-2</v>
      </c>
      <c r="BA34" s="1">
        <v>6.8599999999999994E-2</v>
      </c>
      <c r="BB34" s="1">
        <v>6.2659999999999993E-2</v>
      </c>
      <c r="BC34" s="1">
        <v>8.4889999999999993E-2</v>
      </c>
      <c r="BD34" s="1">
        <v>0.10988000000000001</v>
      </c>
      <c r="BE34" s="1">
        <v>0.1123</v>
      </c>
      <c r="BF34" s="1">
        <v>8.1949999999999995E-2</v>
      </c>
      <c r="BG34" s="1">
        <v>7.7240000000000003E-2</v>
      </c>
      <c r="BH34" s="1">
        <v>8.6230000000000001E-2</v>
      </c>
      <c r="BI34" s="1">
        <v>0</v>
      </c>
      <c r="BJ34" s="1">
        <v>8.2890000000000005E-2</v>
      </c>
      <c r="BK34" s="1">
        <v>0</v>
      </c>
      <c r="BL34" s="1">
        <v>0.11360000000000001</v>
      </c>
      <c r="BM34" s="1">
        <v>0.10761999999999999</v>
      </c>
      <c r="BN34" s="1">
        <v>0</v>
      </c>
      <c r="BO34" s="1">
        <v>0</v>
      </c>
      <c r="BP34" s="1">
        <v>0</v>
      </c>
      <c r="BQ34" s="1">
        <v>9.4539999999999999E-2</v>
      </c>
      <c r="BR34" s="1">
        <v>8.4529999999999994E-2</v>
      </c>
      <c r="BS34" s="1">
        <v>7.9240000000000005E-2</v>
      </c>
      <c r="BT34" s="1">
        <v>7.0730000000000001E-2</v>
      </c>
      <c r="BU34" s="1">
        <v>0</v>
      </c>
      <c r="BV34" s="1">
        <v>0</v>
      </c>
      <c r="BW34" s="1">
        <v>9.239E-2</v>
      </c>
      <c r="BX34" s="1">
        <v>0</v>
      </c>
      <c r="BY34" s="1">
        <v>0</v>
      </c>
      <c r="BZ34" s="1">
        <v>0</v>
      </c>
      <c r="CA34" s="1">
        <v>0</v>
      </c>
      <c r="CB34" s="1">
        <v>8.5769999999999999E-2</v>
      </c>
      <c r="CC34" s="1" t="s">
        <v>160</v>
      </c>
      <c r="CD34" s="1">
        <v>0</v>
      </c>
      <c r="CE34" s="1">
        <v>0</v>
      </c>
      <c r="CF34" s="1">
        <v>0</v>
      </c>
      <c r="CG34" s="1">
        <v>8.7970000000000007E-2</v>
      </c>
      <c r="CH34" s="1">
        <v>0</v>
      </c>
      <c r="CI34" s="1">
        <v>6.6780000000000006E-2</v>
      </c>
      <c r="CJ34" s="1">
        <v>6.8419999999999995E-2</v>
      </c>
      <c r="CK34" s="1">
        <v>5.969E-2</v>
      </c>
      <c r="CL34" s="1">
        <v>0</v>
      </c>
      <c r="CM34" s="1">
        <v>0</v>
      </c>
      <c r="CN34" s="1">
        <v>7.3099999999999998E-2</v>
      </c>
      <c r="CO34" s="1">
        <v>0.12256</v>
      </c>
      <c r="CP34" s="1">
        <v>8.344E-2</v>
      </c>
      <c r="CQ34" s="1">
        <v>7.986E-2</v>
      </c>
      <c r="CR34" s="1">
        <v>7.1819999999999995E-2</v>
      </c>
      <c r="CS34" s="1">
        <v>7.2840000000000002E-2</v>
      </c>
      <c r="CT34" s="1">
        <v>6.9110000000000005E-2</v>
      </c>
      <c r="CU34" s="1">
        <v>9.0730000000000005E-2</v>
      </c>
      <c r="CV34" s="1">
        <v>8.8609999999999994E-2</v>
      </c>
      <c r="CW34" s="1">
        <v>6.5449999999999994E-2</v>
      </c>
      <c r="CX34" s="1">
        <v>0</v>
      </c>
      <c r="CY34" s="1">
        <v>0</v>
      </c>
      <c r="CZ34" s="1">
        <v>8.7099999999999997E-2</v>
      </c>
      <c r="DA34" s="1">
        <v>8.0199999999999994E-2</v>
      </c>
      <c r="DB34" s="1">
        <v>6.9099999999999995E-2</v>
      </c>
      <c r="DC34" s="1">
        <v>7.0499999999999993E-2</v>
      </c>
      <c r="DD34" s="1">
        <v>7.9200000000000007E-2</v>
      </c>
      <c r="DE34" s="1">
        <v>7.22E-2</v>
      </c>
      <c r="DF34" s="1">
        <v>7.8600000000000003E-2</v>
      </c>
      <c r="DG34" s="1">
        <v>0</v>
      </c>
      <c r="DH34" s="1">
        <v>0</v>
      </c>
      <c r="DI34" s="1">
        <v>6.7599999999999993E-2</v>
      </c>
      <c r="DJ34" s="1">
        <v>0</v>
      </c>
      <c r="DK34" s="1">
        <v>0</v>
      </c>
      <c r="DL34" s="1">
        <v>7.8899999999999998E-2</v>
      </c>
      <c r="DM34" s="1">
        <v>9.2299999999999993E-2</v>
      </c>
      <c r="DN34" s="1">
        <v>7.2800000000000004E-2</v>
      </c>
      <c r="DO34" s="1">
        <v>8.3599999999999994E-2</v>
      </c>
      <c r="DP34" s="1">
        <v>7.5300000000000006E-2</v>
      </c>
      <c r="DQ34" s="1">
        <v>0</v>
      </c>
      <c r="DR34" s="1">
        <v>6.7699999999999996E-2</v>
      </c>
      <c r="DS34" s="1">
        <v>0.1099</v>
      </c>
      <c r="DT34" s="1">
        <v>0</v>
      </c>
      <c r="DU34" s="1">
        <v>9.0800000000000006E-2</v>
      </c>
      <c r="DV34" s="1">
        <v>8.5400000000000004E-2</v>
      </c>
      <c r="DW34" s="1">
        <v>0</v>
      </c>
      <c r="DX34" s="1">
        <v>7.46E-2</v>
      </c>
      <c r="DY34" s="1">
        <v>6.6400000000000001E-2</v>
      </c>
      <c r="DZ34" s="1">
        <v>0</v>
      </c>
    </row>
    <row r="35" spans="1:130" x14ac:dyDescent="0.3">
      <c r="A35" s="2" t="s">
        <v>186</v>
      </c>
      <c r="B35" s="1">
        <v>6.8080000000000002E-2</v>
      </c>
      <c r="C35" s="1">
        <v>6.9029999999999994E-2</v>
      </c>
      <c r="D35" s="1">
        <v>5.4469999999999998E-2</v>
      </c>
      <c r="E35" s="1">
        <v>4.8590000000000001E-2</v>
      </c>
      <c r="F35" s="1">
        <v>6.6930000000000003E-2</v>
      </c>
      <c r="G35" s="1">
        <v>6.8229999999999999E-2</v>
      </c>
      <c r="H35" s="1">
        <v>6.5799999999999997E-2</v>
      </c>
      <c r="I35" s="1">
        <v>5.287E-2</v>
      </c>
      <c r="J35" s="1" t="s">
        <v>160</v>
      </c>
      <c r="K35" s="1">
        <v>0</v>
      </c>
      <c r="L35" s="1">
        <v>6.4409999999999995E-2</v>
      </c>
      <c r="M35" s="1">
        <v>5.3170000000000002E-2</v>
      </c>
      <c r="N35" s="1">
        <v>5.5210000000000002E-2</v>
      </c>
      <c r="O35" s="1">
        <v>5.0509999999999999E-2</v>
      </c>
      <c r="P35" s="1">
        <v>5.491E-2</v>
      </c>
      <c r="Q35" s="1">
        <v>6.1629999999999997E-2</v>
      </c>
      <c r="R35" s="1">
        <v>6.4740000000000006E-2</v>
      </c>
      <c r="S35" s="1">
        <v>5.806E-2</v>
      </c>
      <c r="T35" s="1">
        <v>0</v>
      </c>
      <c r="U35" s="1">
        <v>0</v>
      </c>
      <c r="V35" s="1">
        <v>0</v>
      </c>
      <c r="W35" s="1">
        <v>0</v>
      </c>
      <c r="X35" s="1">
        <v>5.6059999999999999E-2</v>
      </c>
      <c r="Y35" s="1">
        <v>5.9420000000000001E-2</v>
      </c>
      <c r="Z35" s="1">
        <v>6.0420000000000001E-2</v>
      </c>
      <c r="AA35" s="1">
        <v>6.173E-2</v>
      </c>
      <c r="AB35" s="1">
        <v>6.8019999999999997E-2</v>
      </c>
      <c r="AC35" s="1">
        <v>6.5780000000000005E-2</v>
      </c>
      <c r="AD35" s="1">
        <v>0</v>
      </c>
      <c r="AE35" s="1">
        <v>5.2819999999999999E-2</v>
      </c>
      <c r="AF35" s="1">
        <v>4.7910000000000001E-2</v>
      </c>
      <c r="AG35" s="1">
        <v>6.7669999999999994E-2</v>
      </c>
      <c r="AH35" s="1">
        <v>6.8409999999999999E-2</v>
      </c>
      <c r="AI35" s="1">
        <v>5.672E-2</v>
      </c>
      <c r="AJ35" s="1">
        <v>5.9229999999999998E-2</v>
      </c>
      <c r="AK35" s="1">
        <v>0</v>
      </c>
      <c r="AL35" s="1">
        <v>0</v>
      </c>
      <c r="AM35" s="1">
        <v>5.6860000000000001E-2</v>
      </c>
      <c r="AN35" s="1">
        <v>5.876E-2</v>
      </c>
      <c r="AO35" s="1">
        <v>4.7669999999999997E-2</v>
      </c>
      <c r="AP35" s="1">
        <v>5.6439999999999997E-2</v>
      </c>
      <c r="AQ35" s="1">
        <v>6.0789999999999997E-2</v>
      </c>
      <c r="AR35" s="1">
        <v>0.09</v>
      </c>
      <c r="AS35" s="1">
        <v>8.8730000000000003E-2</v>
      </c>
      <c r="AT35" s="1">
        <v>8.4970000000000004E-2</v>
      </c>
      <c r="AU35" s="1">
        <v>0</v>
      </c>
      <c r="AV35" s="1">
        <v>6.5699999999999995E-2</v>
      </c>
      <c r="AW35" s="1">
        <v>5.3710000000000001E-2</v>
      </c>
      <c r="AX35" s="1">
        <v>6.0740000000000002E-2</v>
      </c>
      <c r="AY35" s="1">
        <v>5.5199999999999999E-2</v>
      </c>
      <c r="AZ35" s="1">
        <v>5.7340000000000002E-2</v>
      </c>
      <c r="BA35" s="1">
        <v>5.6460000000000003E-2</v>
      </c>
      <c r="BB35" s="1">
        <v>5.1180000000000003E-2</v>
      </c>
      <c r="BC35" s="1">
        <v>6.5490000000000007E-2</v>
      </c>
      <c r="BD35" s="1">
        <v>8.3169999999999994E-2</v>
      </c>
      <c r="BE35" s="1">
        <v>8.5989999999999997E-2</v>
      </c>
      <c r="BF35" s="1">
        <v>5.9139999999999998E-2</v>
      </c>
      <c r="BG35" s="1">
        <v>5.568E-2</v>
      </c>
      <c r="BH35" s="1">
        <v>5.7860000000000002E-2</v>
      </c>
      <c r="BI35" s="1">
        <v>0</v>
      </c>
      <c r="BJ35" s="1">
        <v>5.8880000000000002E-2</v>
      </c>
      <c r="BK35" s="1">
        <v>5.033E-2</v>
      </c>
      <c r="BL35" s="1">
        <v>8.5000000000000006E-2</v>
      </c>
      <c r="BM35" s="1">
        <v>8.5569999999999993E-2</v>
      </c>
      <c r="BN35" s="1">
        <v>5.3670000000000002E-2</v>
      </c>
      <c r="BO35" s="1">
        <v>0</v>
      </c>
      <c r="BP35" s="1">
        <v>5.0849999999999999E-2</v>
      </c>
      <c r="BQ35" s="1">
        <v>6.8390000000000006E-2</v>
      </c>
      <c r="BR35" s="1">
        <v>6.7530000000000007E-2</v>
      </c>
      <c r="BS35" s="1">
        <v>6.3640000000000002E-2</v>
      </c>
      <c r="BT35" s="1">
        <v>4.8550000000000003E-2</v>
      </c>
      <c r="BU35" s="1">
        <v>5.3769999999999998E-2</v>
      </c>
      <c r="BV35" s="1">
        <v>5.5980000000000002E-2</v>
      </c>
      <c r="BW35" s="1">
        <v>6.6669999999999993E-2</v>
      </c>
      <c r="BX35" s="1">
        <v>0</v>
      </c>
      <c r="BY35" s="1">
        <v>5.3319999999999999E-2</v>
      </c>
      <c r="BZ35" s="1">
        <v>0</v>
      </c>
      <c r="CA35" s="1">
        <v>0</v>
      </c>
      <c r="CB35" s="1">
        <v>6.1600000000000002E-2</v>
      </c>
      <c r="CC35" s="1">
        <v>0</v>
      </c>
      <c r="CD35" s="1">
        <v>0</v>
      </c>
      <c r="CE35" s="1">
        <v>5.3999999999999999E-2</v>
      </c>
      <c r="CF35" s="1">
        <v>0</v>
      </c>
      <c r="CG35" s="1">
        <v>6.0909999999999999E-2</v>
      </c>
      <c r="CH35" s="1">
        <v>5.3129999999999997E-2</v>
      </c>
      <c r="CI35" s="1">
        <v>0</v>
      </c>
      <c r="CJ35" s="1">
        <v>4.9779999999999998E-2</v>
      </c>
      <c r="CK35" s="1">
        <v>0</v>
      </c>
      <c r="CL35" s="1">
        <v>0</v>
      </c>
      <c r="CM35" s="1">
        <v>5.2159999999999998E-2</v>
      </c>
      <c r="CN35" s="1">
        <v>5.4510000000000003E-2</v>
      </c>
      <c r="CO35" s="1">
        <v>9.4560000000000005E-2</v>
      </c>
      <c r="CP35" s="1">
        <v>6.0359999999999997E-2</v>
      </c>
      <c r="CQ35" s="1">
        <v>6.2859999999999999E-2</v>
      </c>
      <c r="CR35" s="1">
        <v>0</v>
      </c>
      <c r="CS35" s="1">
        <v>5.3560000000000003E-2</v>
      </c>
      <c r="CT35" s="1">
        <v>0</v>
      </c>
      <c r="CU35" s="1">
        <v>6.4159999999999995E-2</v>
      </c>
      <c r="CV35" s="1">
        <v>6.2600000000000003E-2</v>
      </c>
      <c r="CW35" s="1">
        <v>0</v>
      </c>
      <c r="CX35" s="1">
        <v>5.4690000000000003E-2</v>
      </c>
      <c r="CY35" s="1">
        <v>0</v>
      </c>
      <c r="CZ35" s="1">
        <v>6.5000000000000002E-2</v>
      </c>
      <c r="DA35" s="1">
        <v>6.2100000000000002E-2</v>
      </c>
      <c r="DB35" s="1">
        <v>5.8400000000000001E-2</v>
      </c>
      <c r="DC35" s="1">
        <v>6.0400000000000002E-2</v>
      </c>
      <c r="DD35" s="1">
        <v>6.3399999999999998E-2</v>
      </c>
      <c r="DE35" s="1">
        <v>5.6899999999999999E-2</v>
      </c>
      <c r="DF35" s="1">
        <v>6.1400000000000003E-2</v>
      </c>
      <c r="DG35" s="1">
        <v>5.2499999999999998E-2</v>
      </c>
      <c r="DH35" s="1">
        <v>0</v>
      </c>
      <c r="DI35" s="1">
        <v>5.11E-2</v>
      </c>
      <c r="DJ35" s="1">
        <v>5.28E-2</v>
      </c>
      <c r="DK35" s="1">
        <v>5.5899999999999998E-2</v>
      </c>
      <c r="DL35" s="1">
        <v>5.4800000000000001E-2</v>
      </c>
      <c r="DM35" s="1">
        <v>6.6400000000000001E-2</v>
      </c>
      <c r="DN35" s="1">
        <v>5.9799999999999999E-2</v>
      </c>
      <c r="DO35" s="1">
        <v>5.9900000000000002E-2</v>
      </c>
      <c r="DP35" s="1">
        <v>5.3400000000000003E-2</v>
      </c>
      <c r="DQ35" s="1">
        <v>0</v>
      </c>
      <c r="DR35" s="1">
        <v>5.3999999999999999E-2</v>
      </c>
      <c r="DS35" s="1">
        <v>8.09E-2</v>
      </c>
      <c r="DT35" s="1">
        <v>5.4199999999999998E-2</v>
      </c>
      <c r="DU35" s="1">
        <v>6.3799999999999996E-2</v>
      </c>
      <c r="DV35" s="1">
        <v>5.8599999999999999E-2</v>
      </c>
      <c r="DW35" s="1">
        <v>5.6800000000000003E-2</v>
      </c>
      <c r="DX35" s="1">
        <v>0</v>
      </c>
      <c r="DY35" s="1">
        <v>0</v>
      </c>
      <c r="DZ35" s="1">
        <v>5.1799999999999999E-2</v>
      </c>
    </row>
    <row r="36" spans="1:130" x14ac:dyDescent="0.3">
      <c r="A36" s="2" t="s">
        <v>187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5.2479999999999999E-2</v>
      </c>
      <c r="J36" s="1">
        <v>0</v>
      </c>
      <c r="K36" s="1">
        <v>6.615E-2</v>
      </c>
      <c r="L36" s="1">
        <v>6.8260000000000001E-2</v>
      </c>
      <c r="M36" s="1">
        <v>0</v>
      </c>
      <c r="N36" s="1">
        <v>0</v>
      </c>
      <c r="O36" s="1">
        <v>0</v>
      </c>
      <c r="P36" s="1">
        <v>0</v>
      </c>
      <c r="Q36" s="1">
        <v>6.5229999999999996E-2</v>
      </c>
      <c r="R36" s="1">
        <v>6.5780000000000005E-2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6.4509999999999998E-2</v>
      </c>
      <c r="Z36" s="1">
        <v>6.2179999999999999E-2</v>
      </c>
      <c r="AA36" s="1">
        <v>6.8400000000000002E-2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6.4740000000000006E-2</v>
      </c>
      <c r="AJ36" s="1">
        <v>0</v>
      </c>
      <c r="AK36" s="1">
        <v>5.6009999999999997E-2</v>
      </c>
      <c r="AL36" s="1">
        <v>5.7630000000000001E-2</v>
      </c>
      <c r="AM36" s="1">
        <v>0</v>
      </c>
      <c r="AN36" s="1">
        <v>6.5820000000000004E-2</v>
      </c>
      <c r="AO36" s="1">
        <v>0</v>
      </c>
      <c r="AP36" s="1">
        <v>5.8930000000000003E-2</v>
      </c>
      <c r="AQ36" s="1">
        <v>6.4740000000000006E-2</v>
      </c>
      <c r="AR36" s="1">
        <v>0</v>
      </c>
      <c r="AS36" s="1">
        <v>0</v>
      </c>
      <c r="AT36" s="1">
        <v>0</v>
      </c>
      <c r="AU36" s="1">
        <v>0.16009999999999999</v>
      </c>
      <c r="AV36" s="1">
        <v>0.17238999999999999</v>
      </c>
      <c r="AW36" s="1">
        <v>0</v>
      </c>
      <c r="AX36" s="1">
        <v>6.6919999999999993E-2</v>
      </c>
      <c r="AY36" s="1">
        <v>5.9279999999999999E-2</v>
      </c>
      <c r="AZ36" s="1">
        <v>6.8059999999999996E-2</v>
      </c>
      <c r="BA36" s="1">
        <v>5.926E-2</v>
      </c>
      <c r="BB36" s="1">
        <v>0</v>
      </c>
      <c r="BC36" s="1">
        <v>6.8239999999999995E-2</v>
      </c>
      <c r="BD36" s="1">
        <v>0</v>
      </c>
      <c r="BE36" s="1">
        <v>0</v>
      </c>
      <c r="BF36" s="1">
        <v>6.4820000000000003E-2</v>
      </c>
      <c r="BG36" s="1">
        <v>6.6460000000000005E-2</v>
      </c>
      <c r="BH36" s="1">
        <v>6.2950000000000006E-2</v>
      </c>
      <c r="BI36" s="1">
        <v>0</v>
      </c>
      <c r="BJ36" s="1">
        <v>0.13239999999999999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7.0230000000000001E-2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 t="s">
        <v>160</v>
      </c>
      <c r="BZ36" s="1">
        <v>5.289E-2</v>
      </c>
      <c r="CA36" s="1">
        <v>0</v>
      </c>
      <c r="CB36" s="1">
        <v>6.5140000000000003E-2</v>
      </c>
      <c r="CC36" s="1">
        <v>0</v>
      </c>
      <c r="CD36" s="1">
        <v>5.6270000000000001E-2</v>
      </c>
      <c r="CE36" s="1">
        <v>0</v>
      </c>
      <c r="CF36" s="1">
        <v>5.5399999999999998E-2</v>
      </c>
      <c r="CG36" s="1">
        <v>0</v>
      </c>
      <c r="CH36" s="1">
        <v>0</v>
      </c>
      <c r="CI36" s="1">
        <v>0</v>
      </c>
      <c r="CJ36" s="1">
        <v>0</v>
      </c>
      <c r="CK36" s="1">
        <v>5.62E-2</v>
      </c>
      <c r="CL36" s="1">
        <v>5.4559999999999997E-2</v>
      </c>
      <c r="CM36" s="1">
        <v>0</v>
      </c>
      <c r="CN36" s="1">
        <v>5.8310000000000001E-2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5.7119999999999997E-2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6.7900000000000002E-2</v>
      </c>
      <c r="DF36" s="1">
        <v>0</v>
      </c>
      <c r="DG36" s="1">
        <v>0</v>
      </c>
      <c r="DH36" s="1">
        <v>6.0100000000000001E-2</v>
      </c>
      <c r="DI36" s="1">
        <v>5.4300000000000001E-2</v>
      </c>
      <c r="DJ36" s="1">
        <v>5.5300000000000002E-2</v>
      </c>
      <c r="DK36" s="1">
        <v>0</v>
      </c>
      <c r="DL36" s="1">
        <v>7.2999999999999995E-2</v>
      </c>
      <c r="DM36" s="1">
        <v>0</v>
      </c>
      <c r="DN36" s="1">
        <v>0</v>
      </c>
      <c r="DO36" s="1">
        <v>0</v>
      </c>
      <c r="DP36" s="1">
        <v>7.0599999999999996E-2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7.9699999999999993E-2</v>
      </c>
      <c r="DW36" s="1">
        <v>7.0499999999999993E-2</v>
      </c>
      <c r="DX36" s="1">
        <v>5.8700000000000002E-2</v>
      </c>
      <c r="DY36" s="1">
        <v>0</v>
      </c>
      <c r="DZ36" s="1">
        <v>5.4899999999999997E-2</v>
      </c>
    </row>
    <row r="37" spans="1:130" x14ac:dyDescent="0.3">
      <c r="A37" s="2" t="s">
        <v>0</v>
      </c>
      <c r="B37" s="1">
        <v>0.25758999999999999</v>
      </c>
      <c r="C37" s="1">
        <v>0.21401000000000001</v>
      </c>
      <c r="D37" s="1">
        <v>0.27694000000000002</v>
      </c>
      <c r="E37" s="1">
        <v>0.21154999999999999</v>
      </c>
      <c r="F37" s="1">
        <v>0.22561</v>
      </c>
      <c r="G37" s="1">
        <v>0.22313</v>
      </c>
      <c r="H37" s="1">
        <v>0.20039999999999999</v>
      </c>
      <c r="I37" s="1">
        <v>0.23971000000000001</v>
      </c>
      <c r="J37" s="1">
        <v>0.20055999999999999</v>
      </c>
      <c r="K37" s="1">
        <v>0.22292000000000001</v>
      </c>
      <c r="L37" s="1">
        <v>0.20480000000000001</v>
      </c>
      <c r="M37" s="1">
        <v>0.22166</v>
      </c>
      <c r="N37" s="1">
        <v>0</v>
      </c>
      <c r="O37" s="1">
        <v>0</v>
      </c>
      <c r="P37" s="1">
        <v>0</v>
      </c>
      <c r="Q37" s="1">
        <v>0.35311999999999999</v>
      </c>
      <c r="R37" s="1">
        <v>0.22922999999999999</v>
      </c>
      <c r="S37" s="1">
        <v>0.27955999999999998</v>
      </c>
      <c r="T37" s="1">
        <v>0.22212000000000001</v>
      </c>
      <c r="U37" s="1">
        <v>0.28355999999999998</v>
      </c>
      <c r="V37" s="1">
        <v>0.25741999999999998</v>
      </c>
      <c r="W37" s="1">
        <v>0</v>
      </c>
      <c r="X37" s="1">
        <v>0.22386</v>
      </c>
      <c r="Y37" s="1">
        <v>0.37548999999999999</v>
      </c>
      <c r="Z37" s="1">
        <v>0.27294000000000002</v>
      </c>
      <c r="AA37" s="1">
        <v>0.23477999999999999</v>
      </c>
      <c r="AB37" s="1">
        <v>0.23557</v>
      </c>
      <c r="AC37" s="1">
        <v>0.21615000000000001</v>
      </c>
      <c r="AD37" s="1">
        <v>0.20455999999999999</v>
      </c>
      <c r="AE37" s="1">
        <v>0.24603</v>
      </c>
      <c r="AF37" s="1">
        <v>0.23211000000000001</v>
      </c>
      <c r="AG37" s="1">
        <v>0.23676</v>
      </c>
      <c r="AH37" s="1">
        <v>0.20952000000000001</v>
      </c>
      <c r="AI37" s="1">
        <v>0.34705999999999998</v>
      </c>
      <c r="AJ37" s="1">
        <v>0.27811000000000002</v>
      </c>
      <c r="AK37" s="1">
        <v>0.24304000000000001</v>
      </c>
      <c r="AL37" s="1">
        <v>0.24063000000000001</v>
      </c>
      <c r="AM37" s="1">
        <v>0.26665</v>
      </c>
      <c r="AN37" s="1">
        <v>0.27816000000000002</v>
      </c>
      <c r="AO37" s="1">
        <v>0.17021</v>
      </c>
      <c r="AP37" s="1">
        <v>0.22958000000000001</v>
      </c>
      <c r="AQ37" s="1">
        <v>0.33334000000000003</v>
      </c>
      <c r="AR37" s="1">
        <v>0.28227999999999998</v>
      </c>
      <c r="AS37" s="1">
        <v>0.22958000000000001</v>
      </c>
      <c r="AT37" s="1">
        <v>0.24759999999999999</v>
      </c>
      <c r="AU37" s="1">
        <v>0.22797999999999999</v>
      </c>
      <c r="AV37" s="1">
        <v>0.21682000000000001</v>
      </c>
      <c r="AW37" s="1">
        <v>0</v>
      </c>
      <c r="AX37" s="1">
        <v>0.32325999999999999</v>
      </c>
      <c r="AY37" s="1">
        <v>0.21257999999999999</v>
      </c>
      <c r="AZ37" s="1">
        <v>0.31719000000000003</v>
      </c>
      <c r="BA37" s="1">
        <v>0.24148</v>
      </c>
      <c r="BB37" s="1">
        <v>0.24276</v>
      </c>
      <c r="BC37" s="1">
        <v>0.20526</v>
      </c>
      <c r="BD37" s="1">
        <v>0.27453</v>
      </c>
      <c r="BE37" s="1">
        <v>0.19674</v>
      </c>
      <c r="BF37" s="1">
        <v>0.28919</v>
      </c>
      <c r="BG37" s="1">
        <v>0.30591000000000002</v>
      </c>
      <c r="BH37" s="1">
        <v>0.31086000000000003</v>
      </c>
      <c r="BI37" s="1">
        <v>0.44866</v>
      </c>
      <c r="BJ37" s="1">
        <v>0.21507999999999999</v>
      </c>
      <c r="BK37" s="1">
        <v>0.28067999999999999</v>
      </c>
      <c r="BL37" s="1">
        <v>0.24529999999999999</v>
      </c>
      <c r="BM37" s="1">
        <v>0.23945</v>
      </c>
      <c r="BN37" s="1">
        <v>0.34361999999999998</v>
      </c>
      <c r="BO37" s="1">
        <v>0.29221000000000003</v>
      </c>
      <c r="BP37" s="1">
        <v>0</v>
      </c>
      <c r="BQ37" s="1">
        <v>0.22081000000000001</v>
      </c>
      <c r="BR37" s="1">
        <v>0.23441000000000001</v>
      </c>
      <c r="BS37" s="1">
        <v>0.21007000000000001</v>
      </c>
      <c r="BT37" s="1">
        <v>0.22950999999999999</v>
      </c>
      <c r="BU37" s="1">
        <v>0.20644999999999999</v>
      </c>
      <c r="BV37" s="1">
        <v>0.249</v>
      </c>
      <c r="BW37" s="1">
        <v>0.17582999999999999</v>
      </c>
      <c r="BX37" s="1">
        <v>0.27628999999999998</v>
      </c>
      <c r="BY37" s="1">
        <v>0</v>
      </c>
      <c r="BZ37" s="1">
        <v>0</v>
      </c>
      <c r="CA37" s="1">
        <v>0.24410000000000001</v>
      </c>
      <c r="CB37" s="1">
        <v>0.24775</v>
      </c>
      <c r="CC37" s="1">
        <v>0.29857</v>
      </c>
      <c r="CD37" s="1">
        <v>0.43955</v>
      </c>
      <c r="CE37" s="1">
        <v>0.28752</v>
      </c>
      <c r="CF37" s="1">
        <v>0.27543000000000001</v>
      </c>
      <c r="CG37" s="1">
        <v>0.20280000000000001</v>
      </c>
      <c r="CH37" s="1">
        <v>0.46254000000000001</v>
      </c>
      <c r="CI37" s="1">
        <v>0</v>
      </c>
      <c r="CJ37" s="1">
        <v>0.26946999999999999</v>
      </c>
      <c r="CK37" s="1" t="s">
        <v>160</v>
      </c>
      <c r="CL37" s="1">
        <v>0.25313000000000002</v>
      </c>
      <c r="CM37" s="1">
        <v>0.21299999999999999</v>
      </c>
      <c r="CN37" s="1">
        <v>0.23497999999999999</v>
      </c>
      <c r="CO37" s="1">
        <v>0.26868999999999998</v>
      </c>
      <c r="CP37" s="1">
        <v>0.37772</v>
      </c>
      <c r="CQ37" s="1">
        <v>0.27842</v>
      </c>
      <c r="CR37" s="1">
        <v>0.25097999999999998</v>
      </c>
      <c r="CS37" s="1">
        <v>0</v>
      </c>
      <c r="CT37" s="1" t="s">
        <v>160</v>
      </c>
      <c r="CU37" s="1">
        <v>0.28519</v>
      </c>
      <c r="CV37" s="1">
        <v>0.27868999999999999</v>
      </c>
      <c r="CW37" s="1">
        <v>0.28620000000000001</v>
      </c>
      <c r="CX37" s="1">
        <v>0</v>
      </c>
      <c r="CY37" s="1">
        <v>0</v>
      </c>
      <c r="CZ37" s="1">
        <v>0.25240000000000001</v>
      </c>
      <c r="DA37" s="1">
        <v>0.2742</v>
      </c>
      <c r="DB37" s="1">
        <v>0.38969999999999999</v>
      </c>
      <c r="DC37" s="1">
        <v>0.27239999999999998</v>
      </c>
      <c r="DD37" s="1">
        <v>0.24759999999999999</v>
      </c>
      <c r="DE37" s="1">
        <v>0.2964</v>
      </c>
      <c r="DF37" s="1">
        <v>0.2392</v>
      </c>
      <c r="DG37" s="1">
        <v>0.2858</v>
      </c>
      <c r="DH37" s="1" t="s">
        <v>160</v>
      </c>
      <c r="DI37" s="1" t="s">
        <v>160</v>
      </c>
      <c r="DJ37" s="1">
        <v>0.27700000000000002</v>
      </c>
      <c r="DK37" s="1">
        <v>0.22800000000000001</v>
      </c>
      <c r="DL37" s="1">
        <v>0.28639999999999999</v>
      </c>
      <c r="DM37" s="1">
        <v>0.24049999999999999</v>
      </c>
      <c r="DN37" s="1">
        <v>0.27500000000000002</v>
      </c>
      <c r="DO37" s="1">
        <v>0.17599999999999999</v>
      </c>
      <c r="DP37" s="1">
        <v>0.33300000000000002</v>
      </c>
      <c r="DQ37" s="1">
        <v>0.25169999999999998</v>
      </c>
      <c r="DR37" s="1">
        <v>0.26219999999999999</v>
      </c>
      <c r="DS37" s="1">
        <v>0.26029999999999998</v>
      </c>
      <c r="DT37" s="1">
        <v>0.24379999999999999</v>
      </c>
      <c r="DU37" s="1">
        <v>0.28299999999999997</v>
      </c>
      <c r="DV37" s="1">
        <v>0.26529999999999998</v>
      </c>
      <c r="DW37" s="1">
        <v>0.32969999999999999</v>
      </c>
      <c r="DX37" s="1">
        <v>0.2772</v>
      </c>
      <c r="DY37" s="1">
        <v>0.25280000000000002</v>
      </c>
      <c r="DZ37" s="1">
        <v>0.2712</v>
      </c>
    </row>
    <row r="38" spans="1:130" x14ac:dyDescent="0.3">
      <c r="A38" s="12" t="s">
        <v>1</v>
      </c>
      <c r="B38" s="9">
        <v>1.3299999999999999E-2</v>
      </c>
      <c r="C38" s="9">
        <v>1.2160000000000001E-2</v>
      </c>
      <c r="D38" s="9">
        <v>1.14E-2</v>
      </c>
      <c r="E38" s="9">
        <v>0</v>
      </c>
      <c r="F38" s="9">
        <v>1.319E-2</v>
      </c>
      <c r="G38" s="9">
        <v>1.304E-2</v>
      </c>
      <c r="H38" s="9">
        <v>1.3480000000000001E-2</v>
      </c>
      <c r="I38" s="9">
        <v>1.1050000000000001E-2</v>
      </c>
      <c r="J38" s="9">
        <v>1.0970000000000001E-2</v>
      </c>
      <c r="K38" s="9">
        <v>1.3129999999999999E-2</v>
      </c>
      <c r="L38" s="9">
        <v>1.3339999999999999E-2</v>
      </c>
      <c r="M38" s="9">
        <v>9.7900000000000001E-3</v>
      </c>
      <c r="N38" s="9">
        <v>1.0710000000000001E-2</v>
      </c>
      <c r="O38" s="9">
        <v>1.094E-2</v>
      </c>
      <c r="P38" s="9">
        <v>0</v>
      </c>
      <c r="Q38" s="9">
        <v>1.1220000000000001E-2</v>
      </c>
      <c r="R38" s="9">
        <v>1.3100000000000001E-2</v>
      </c>
      <c r="S38" s="9">
        <v>1.1690000000000001E-2</v>
      </c>
      <c r="T38" s="9">
        <v>9.6299999999999997E-3</v>
      </c>
      <c r="U38" s="9">
        <v>1.086E-2</v>
      </c>
      <c r="V38" s="9">
        <v>1.1089999999999999E-2</v>
      </c>
      <c r="W38" s="9">
        <v>1.017E-2</v>
      </c>
      <c r="X38" s="9">
        <v>1.1379999999999999E-2</v>
      </c>
      <c r="Y38" s="9">
        <v>1.1950000000000001E-2</v>
      </c>
      <c r="Z38" s="9">
        <v>1.188E-2</v>
      </c>
      <c r="AA38" s="9">
        <v>1.208E-2</v>
      </c>
      <c r="AB38" s="9">
        <v>1.3010000000000001E-2</v>
      </c>
      <c r="AC38" s="9">
        <v>1.294E-2</v>
      </c>
      <c r="AD38" s="9">
        <v>1.038E-2</v>
      </c>
      <c r="AE38" s="9">
        <v>0</v>
      </c>
      <c r="AF38" s="9">
        <v>0</v>
      </c>
      <c r="AG38" s="9">
        <v>1.268E-2</v>
      </c>
      <c r="AH38" s="9">
        <v>1.2370000000000001E-2</v>
      </c>
      <c r="AI38" s="9">
        <v>1.106E-2</v>
      </c>
      <c r="AJ38" s="9">
        <v>1.316E-2</v>
      </c>
      <c r="AK38" s="9">
        <v>9.6500000000000006E-3</v>
      </c>
      <c r="AL38" s="9">
        <v>1.042E-2</v>
      </c>
      <c r="AM38" s="9">
        <v>1.243E-2</v>
      </c>
      <c r="AN38" s="9">
        <v>1.1610000000000001E-2</v>
      </c>
      <c r="AO38" s="9">
        <v>9.0600000000000003E-3</v>
      </c>
      <c r="AP38" s="9">
        <v>1.191E-2</v>
      </c>
      <c r="AQ38" s="9">
        <v>1.187E-2</v>
      </c>
      <c r="AR38" s="9">
        <v>1.2189999999999999E-2</v>
      </c>
      <c r="AS38" s="9">
        <v>1.281E-2</v>
      </c>
      <c r="AT38" s="9">
        <v>1.2330000000000001E-2</v>
      </c>
      <c r="AU38" s="9">
        <v>1.2999999999999999E-2</v>
      </c>
      <c r="AV38" s="9">
        <v>1.32E-2</v>
      </c>
      <c r="AW38" s="9">
        <v>1.031E-2</v>
      </c>
      <c r="AX38" s="9">
        <v>1.1900000000000001E-2</v>
      </c>
      <c r="AY38" s="9">
        <v>1.3259999999999999E-2</v>
      </c>
      <c r="AZ38" s="9">
        <v>1.1849999999999999E-2</v>
      </c>
      <c r="BA38" s="9">
        <v>1.2540000000000001E-2</v>
      </c>
      <c r="BB38" s="9">
        <v>0.01</v>
      </c>
      <c r="BC38" s="9">
        <v>1.2749999999999999E-2</v>
      </c>
      <c r="BD38" s="9">
        <v>1.218E-2</v>
      </c>
      <c r="BE38" s="9">
        <v>1.2319999999999999E-2</v>
      </c>
      <c r="BF38" s="9">
        <v>1.2290000000000001E-2</v>
      </c>
      <c r="BG38" s="9">
        <v>1.133E-2</v>
      </c>
      <c r="BH38" s="9">
        <v>1.153E-2</v>
      </c>
      <c r="BI38" s="9">
        <v>1.0149999999999999E-2</v>
      </c>
      <c r="BJ38" s="9">
        <v>1.234E-2</v>
      </c>
      <c r="BK38" s="9">
        <v>9.9500000000000005E-3</v>
      </c>
      <c r="BL38" s="9">
        <v>1.268E-2</v>
      </c>
      <c r="BM38" s="9">
        <v>1.193E-2</v>
      </c>
      <c r="BN38" s="9">
        <v>1.078E-2</v>
      </c>
      <c r="BO38" s="9">
        <v>9.8799999999999999E-3</v>
      </c>
      <c r="BP38" s="9">
        <v>9.5499999999999995E-3</v>
      </c>
      <c r="BQ38" s="9">
        <v>1.3299999999999999E-2</v>
      </c>
      <c r="BR38" s="9">
        <v>1.324E-2</v>
      </c>
      <c r="BS38" s="9">
        <v>1.346E-2</v>
      </c>
      <c r="BT38" s="9">
        <v>1.044E-2</v>
      </c>
      <c r="BU38" s="9">
        <v>0</v>
      </c>
      <c r="BV38" s="9">
        <v>1.0500000000000001E-2</v>
      </c>
      <c r="BW38" s="9">
        <v>1.3140000000000001E-2</v>
      </c>
      <c r="BX38" s="9">
        <v>1.023E-2</v>
      </c>
      <c r="BY38" s="9">
        <v>1.0370000000000001E-2</v>
      </c>
      <c r="BZ38" s="9">
        <v>9.1699999999999993E-3</v>
      </c>
      <c r="CA38" s="9">
        <v>1.065E-2</v>
      </c>
      <c r="CB38" s="9">
        <v>1.321E-2</v>
      </c>
      <c r="CC38" s="9">
        <v>1.0120000000000001E-2</v>
      </c>
      <c r="CD38" s="9">
        <v>1.056E-2</v>
      </c>
      <c r="CE38" s="9">
        <v>1.023E-2</v>
      </c>
      <c r="CF38" s="9">
        <v>1.005E-2</v>
      </c>
      <c r="CG38" s="9">
        <v>1.274E-2</v>
      </c>
      <c r="CH38" s="9">
        <v>0</v>
      </c>
      <c r="CI38" s="9">
        <v>9.9000000000000008E-3</v>
      </c>
      <c r="CJ38" s="9">
        <v>1.051E-2</v>
      </c>
      <c r="CK38" s="9">
        <v>8.9300000000000004E-3</v>
      </c>
      <c r="CL38" s="9">
        <v>1.0160000000000001E-2</v>
      </c>
      <c r="CM38" s="9">
        <v>1.01E-2</v>
      </c>
      <c r="CN38" s="9">
        <v>1.014E-2</v>
      </c>
      <c r="CO38" s="9">
        <v>1.316E-2</v>
      </c>
      <c r="CP38" s="9">
        <v>1.221E-2</v>
      </c>
      <c r="CQ38" s="9">
        <v>1.193E-2</v>
      </c>
      <c r="CR38" s="9">
        <v>1.2330000000000001E-2</v>
      </c>
      <c r="CS38" s="9">
        <v>1.1390000000000001E-2</v>
      </c>
      <c r="CT38" s="9">
        <v>1.1039999999999999E-2</v>
      </c>
      <c r="CU38" s="9">
        <v>1.23E-2</v>
      </c>
      <c r="CV38" s="9">
        <v>1.21E-2</v>
      </c>
      <c r="CW38" s="9">
        <v>1.0829999999999999E-2</v>
      </c>
      <c r="CX38" s="9">
        <v>0</v>
      </c>
      <c r="CY38" s="9">
        <v>9.9600000000000001E-3</v>
      </c>
      <c r="CZ38" s="9">
        <v>1.1900000000000001E-2</v>
      </c>
      <c r="DA38" s="9">
        <v>1.2500000000000001E-2</v>
      </c>
      <c r="DB38" s="9">
        <v>1.03E-2</v>
      </c>
      <c r="DC38" s="9">
        <v>1.1599999999999999E-2</v>
      </c>
      <c r="DD38" s="9">
        <v>1.1900000000000001E-2</v>
      </c>
      <c r="DE38" s="9">
        <v>1.1299999999999999E-2</v>
      </c>
      <c r="DF38" s="9">
        <v>1.15E-2</v>
      </c>
      <c r="DG38" s="9">
        <v>1.0200000000000001E-2</v>
      </c>
      <c r="DH38" s="9">
        <v>1.12E-2</v>
      </c>
      <c r="DI38" s="9">
        <v>1.09E-2</v>
      </c>
      <c r="DJ38" s="9">
        <v>1.0699999999999999E-2</v>
      </c>
      <c r="DK38" s="9">
        <v>1.0200000000000001E-2</v>
      </c>
      <c r="DL38" s="9">
        <v>1.15E-2</v>
      </c>
      <c r="DM38" s="9">
        <v>1.1599999999999999E-2</v>
      </c>
      <c r="DN38" s="9">
        <v>1.23E-2</v>
      </c>
      <c r="DO38" s="9">
        <v>1.0999999999999999E-2</v>
      </c>
      <c r="DP38" s="9">
        <v>1.1599999999999999E-2</v>
      </c>
      <c r="DQ38" s="9">
        <v>1.0699999999999999E-2</v>
      </c>
      <c r="DR38" s="9">
        <v>0</v>
      </c>
      <c r="DS38" s="9">
        <v>1.18E-2</v>
      </c>
      <c r="DT38" s="9">
        <v>1.0200000000000001E-2</v>
      </c>
      <c r="DU38" s="9">
        <v>1.26E-2</v>
      </c>
      <c r="DV38" s="9">
        <v>1.21E-2</v>
      </c>
      <c r="DW38" s="9">
        <v>1.0999999999999999E-2</v>
      </c>
      <c r="DX38" s="9">
        <v>1.2E-2</v>
      </c>
      <c r="DY38" s="9">
        <v>1.0999999999999999E-2</v>
      </c>
      <c r="DZ38" s="9">
        <v>1.0500000000000001E-2</v>
      </c>
    </row>
    <row r="39" spans="1:130" x14ac:dyDescent="0.3">
      <c r="A39" s="3"/>
    </row>
    <row r="40" spans="1:130" x14ac:dyDescent="0.3">
      <c r="A40" s="3"/>
    </row>
  </sheetData>
  <mergeCells count="1">
    <mergeCell ref="A1:XF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36E2F-FE5D-4D14-B7F7-13118C94A4C5}">
  <dimension ref="A1:BZ38"/>
  <sheetViews>
    <sheetView showGridLines="0" workbookViewId="0"/>
  </sheetViews>
  <sheetFormatPr baseColWidth="10" defaultRowHeight="14.4" x14ac:dyDescent="0.3"/>
  <sheetData>
    <row r="1" spans="1:78" s="32" customFormat="1" x14ac:dyDescent="0.3">
      <c r="A1" s="32" t="s">
        <v>881</v>
      </c>
    </row>
    <row r="5" spans="1:78" s="1" customFormat="1" x14ac:dyDescent="0.3"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19" t="s">
        <v>16</v>
      </c>
      <c r="Q5" s="19" t="s">
        <v>17</v>
      </c>
      <c r="R5" s="19" t="s">
        <v>18</v>
      </c>
      <c r="S5" s="19" t="s">
        <v>19</v>
      </c>
      <c r="T5" s="19" t="s">
        <v>20</v>
      </c>
      <c r="U5" s="19" t="s">
        <v>21</v>
      </c>
      <c r="V5" s="19" t="s">
        <v>22</v>
      </c>
      <c r="W5" s="19" t="s">
        <v>23</v>
      </c>
      <c r="X5" s="19" t="s">
        <v>24</v>
      </c>
      <c r="Y5" s="19" t="s">
        <v>25</v>
      </c>
      <c r="Z5" s="19" t="s">
        <v>26</v>
      </c>
      <c r="AA5" s="19" t="s">
        <v>27</v>
      </c>
      <c r="AB5" s="19" t="s">
        <v>28</v>
      </c>
      <c r="AC5" s="19" t="s">
        <v>29</v>
      </c>
      <c r="AD5" s="19" t="s">
        <v>30</v>
      </c>
      <c r="AE5" s="19" t="s">
        <v>31</v>
      </c>
      <c r="AF5" s="19" t="s">
        <v>32</v>
      </c>
      <c r="AG5" s="19" t="s">
        <v>33</v>
      </c>
      <c r="AH5" s="19" t="s">
        <v>34</v>
      </c>
      <c r="AI5" s="19" t="s">
        <v>35</v>
      </c>
      <c r="AJ5" s="19" t="s">
        <v>36</v>
      </c>
      <c r="AK5" s="19" t="s">
        <v>37</v>
      </c>
      <c r="AL5" s="19" t="s">
        <v>38</v>
      </c>
      <c r="AM5" s="19" t="s">
        <v>39</v>
      </c>
      <c r="AN5" s="19" t="s">
        <v>40</v>
      </c>
      <c r="AO5" s="19" t="s">
        <v>41</v>
      </c>
      <c r="AP5" s="19" t="s">
        <v>42</v>
      </c>
      <c r="AQ5" s="19" t="s">
        <v>43</v>
      </c>
      <c r="AR5" s="19" t="s">
        <v>44</v>
      </c>
      <c r="AS5" s="19" t="s">
        <v>45</v>
      </c>
      <c r="AT5" s="19" t="s">
        <v>46</v>
      </c>
      <c r="AU5" s="19" t="s">
        <v>47</v>
      </c>
      <c r="AV5" s="19" t="s">
        <v>48</v>
      </c>
      <c r="AW5" s="19" t="s">
        <v>49</v>
      </c>
      <c r="AX5" s="19" t="s">
        <v>50</v>
      </c>
      <c r="AY5" s="19" t="s">
        <v>51</v>
      </c>
      <c r="AZ5" s="19" t="s">
        <v>52</v>
      </c>
      <c r="BA5" s="19" t="s">
        <v>53</v>
      </c>
      <c r="BB5" s="19" t="s">
        <v>54</v>
      </c>
      <c r="BC5" s="19" t="s">
        <v>55</v>
      </c>
      <c r="BD5" s="19" t="s">
        <v>56</v>
      </c>
      <c r="BE5" s="19" t="s">
        <v>57</v>
      </c>
      <c r="BF5" s="19" t="s">
        <v>58</v>
      </c>
      <c r="BG5" s="19" t="s">
        <v>59</v>
      </c>
      <c r="BH5" s="19" t="s">
        <v>60</v>
      </c>
      <c r="BI5" s="19" t="s">
        <v>61</v>
      </c>
      <c r="BJ5" s="19" t="s">
        <v>62</v>
      </c>
      <c r="BK5" s="19" t="s">
        <v>63</v>
      </c>
      <c r="BL5" s="19" t="s">
        <v>64</v>
      </c>
      <c r="BM5" s="19" t="s">
        <v>65</v>
      </c>
      <c r="BN5" s="19" t="s">
        <v>66</v>
      </c>
      <c r="BO5" s="19" t="s">
        <v>67</v>
      </c>
      <c r="BP5" s="19" t="s">
        <v>68</v>
      </c>
      <c r="BQ5" s="19" t="s">
        <v>69</v>
      </c>
      <c r="BR5" s="19" t="s">
        <v>70</v>
      </c>
      <c r="BS5" s="19" t="s">
        <v>71</v>
      </c>
      <c r="BT5" s="19" t="s">
        <v>72</v>
      </c>
      <c r="BU5" s="19" t="s">
        <v>73</v>
      </c>
      <c r="BV5" s="19" t="s">
        <v>74</v>
      </c>
      <c r="BW5" s="19" t="s">
        <v>75</v>
      </c>
      <c r="BX5" s="19" t="s">
        <v>76</v>
      </c>
      <c r="BY5" s="19" t="s">
        <v>77</v>
      </c>
      <c r="BZ5" s="19" t="s">
        <v>78</v>
      </c>
    </row>
    <row r="6" spans="1:78" s="18" customFormat="1" x14ac:dyDescent="0.3">
      <c r="B6" s="20" t="s">
        <v>408</v>
      </c>
      <c r="C6" s="20" t="s">
        <v>409</v>
      </c>
      <c r="D6" s="20" t="s">
        <v>410</v>
      </c>
      <c r="E6" s="20" t="s">
        <v>411</v>
      </c>
      <c r="F6" s="20" t="s">
        <v>412</v>
      </c>
      <c r="G6" s="20" t="s">
        <v>413</v>
      </c>
      <c r="H6" s="20" t="s">
        <v>414</v>
      </c>
      <c r="I6" s="20" t="s">
        <v>415</v>
      </c>
      <c r="J6" s="20" t="s">
        <v>416</v>
      </c>
      <c r="K6" s="20" t="s">
        <v>417</v>
      </c>
      <c r="L6" s="20" t="s">
        <v>418</v>
      </c>
      <c r="M6" s="20" t="s">
        <v>419</v>
      </c>
      <c r="N6" s="20" t="s">
        <v>420</v>
      </c>
      <c r="O6" s="20" t="s">
        <v>421</v>
      </c>
      <c r="P6" s="20" t="s">
        <v>422</v>
      </c>
      <c r="Q6" s="20" t="s">
        <v>423</v>
      </c>
      <c r="R6" s="20" t="s">
        <v>424</v>
      </c>
      <c r="S6" s="20" t="s">
        <v>425</v>
      </c>
      <c r="T6" s="20" t="s">
        <v>426</v>
      </c>
      <c r="U6" s="20" t="s">
        <v>427</v>
      </c>
      <c r="V6" s="20" t="s">
        <v>428</v>
      </c>
      <c r="W6" s="20" t="s">
        <v>429</v>
      </c>
      <c r="X6" s="20" t="s">
        <v>430</v>
      </c>
      <c r="Y6" s="20" t="s">
        <v>431</v>
      </c>
      <c r="Z6" s="20" t="s">
        <v>432</v>
      </c>
      <c r="AA6" s="20" t="s">
        <v>433</v>
      </c>
      <c r="AB6" s="20" t="s">
        <v>434</v>
      </c>
      <c r="AC6" s="20" t="s">
        <v>435</v>
      </c>
      <c r="AD6" s="20" t="s">
        <v>436</v>
      </c>
      <c r="AE6" s="20" t="s">
        <v>437</v>
      </c>
      <c r="AF6" s="20" t="s">
        <v>438</v>
      </c>
      <c r="AG6" s="20" t="s">
        <v>439</v>
      </c>
      <c r="AH6" s="20" t="s">
        <v>440</v>
      </c>
      <c r="AI6" s="20" t="s">
        <v>441</v>
      </c>
      <c r="AJ6" s="20" t="s">
        <v>442</v>
      </c>
      <c r="AK6" s="20" t="s">
        <v>443</v>
      </c>
      <c r="AL6" s="20" t="s">
        <v>444</v>
      </c>
      <c r="AM6" s="20" t="s">
        <v>445</v>
      </c>
      <c r="AN6" s="20" t="s">
        <v>446</v>
      </c>
      <c r="AO6" s="20" t="s">
        <v>447</v>
      </c>
      <c r="AP6" s="20" t="s">
        <v>448</v>
      </c>
      <c r="AQ6" s="20" t="s">
        <v>449</v>
      </c>
      <c r="AR6" s="20" t="s">
        <v>450</v>
      </c>
      <c r="AS6" s="20" t="s">
        <v>451</v>
      </c>
      <c r="AT6" s="20" t="s">
        <v>452</v>
      </c>
      <c r="AU6" s="20" t="s">
        <v>453</v>
      </c>
      <c r="AV6" s="20" t="s">
        <v>454</v>
      </c>
      <c r="AW6" s="20" t="s">
        <v>455</v>
      </c>
      <c r="AX6" s="20" t="s">
        <v>456</v>
      </c>
      <c r="AY6" s="20" t="s">
        <v>457</v>
      </c>
      <c r="AZ6" s="20" t="s">
        <v>458</v>
      </c>
      <c r="BA6" s="20" t="s">
        <v>459</v>
      </c>
      <c r="BB6" s="20" t="s">
        <v>460</v>
      </c>
      <c r="BC6" s="20" t="s">
        <v>461</v>
      </c>
      <c r="BD6" s="20" t="s">
        <v>462</v>
      </c>
      <c r="BE6" s="20" t="s">
        <v>463</v>
      </c>
      <c r="BF6" s="20" t="s">
        <v>464</v>
      </c>
      <c r="BG6" s="20" t="s">
        <v>465</v>
      </c>
      <c r="BH6" s="20" t="s">
        <v>466</v>
      </c>
      <c r="BI6" s="20" t="s">
        <v>467</v>
      </c>
      <c r="BJ6" s="20" t="s">
        <v>468</v>
      </c>
      <c r="BK6" s="20" t="s">
        <v>469</v>
      </c>
      <c r="BL6" s="20" t="s">
        <v>470</v>
      </c>
      <c r="BM6" s="20" t="s">
        <v>471</v>
      </c>
      <c r="BN6" s="20" t="s">
        <v>472</v>
      </c>
      <c r="BO6" s="20" t="s">
        <v>473</v>
      </c>
      <c r="BP6" s="20" t="s">
        <v>474</v>
      </c>
      <c r="BQ6" s="20" t="s">
        <v>475</v>
      </c>
      <c r="BR6" s="20" t="s">
        <v>476</v>
      </c>
      <c r="BS6" s="20" t="s">
        <v>477</v>
      </c>
      <c r="BT6" s="20" t="s">
        <v>478</v>
      </c>
      <c r="BU6" s="20" t="s">
        <v>479</v>
      </c>
      <c r="BV6" s="20" t="s">
        <v>480</v>
      </c>
      <c r="BW6" s="20" t="s">
        <v>481</v>
      </c>
      <c r="BX6" s="20" t="s">
        <v>482</v>
      </c>
      <c r="BY6" s="20" t="s">
        <v>483</v>
      </c>
      <c r="BZ6" s="20" t="s">
        <v>484</v>
      </c>
    </row>
    <row r="7" spans="1:78" x14ac:dyDescent="0.3">
      <c r="A7" s="16" t="s">
        <v>161</v>
      </c>
      <c r="B7" s="1">
        <v>1.55E-2</v>
      </c>
      <c r="C7" s="1">
        <v>1.5100000000000001E-2</v>
      </c>
      <c r="D7" s="1">
        <v>1.4999999999999999E-2</v>
      </c>
      <c r="E7" s="1">
        <v>1.47E-2</v>
      </c>
      <c r="F7" s="1">
        <v>1.43E-2</v>
      </c>
      <c r="G7" s="1">
        <v>1.5800000000000002E-2</v>
      </c>
      <c r="H7" s="1">
        <v>1.5599999999999999E-2</v>
      </c>
      <c r="I7" s="1">
        <v>1.12E-2</v>
      </c>
      <c r="J7" s="1">
        <v>1.4500000000000001E-2</v>
      </c>
      <c r="K7" s="1">
        <v>1.5299999999999999E-2</v>
      </c>
      <c r="L7" s="1">
        <v>1.5900000000000001E-2</v>
      </c>
      <c r="M7" s="1">
        <v>1.47E-2</v>
      </c>
      <c r="N7" s="1">
        <v>1.5100000000000001E-2</v>
      </c>
      <c r="O7" s="1">
        <v>1.4999999999999999E-2</v>
      </c>
      <c r="P7" s="1">
        <v>1.5599999999999999E-2</v>
      </c>
      <c r="Q7" s="1">
        <v>1.54E-2</v>
      </c>
      <c r="R7" s="1">
        <v>1.5599999999999999E-2</v>
      </c>
      <c r="S7" s="1">
        <v>1.5599999999999999E-2</v>
      </c>
      <c r="T7" s="1">
        <v>1.4999999999999999E-2</v>
      </c>
      <c r="U7" s="1">
        <v>1.6E-2</v>
      </c>
      <c r="V7" s="1">
        <v>1.4999999999999999E-2</v>
      </c>
      <c r="W7" s="1">
        <v>1.5900000000000001E-2</v>
      </c>
      <c r="X7" s="1">
        <v>1.5800000000000002E-2</v>
      </c>
      <c r="Y7" s="1">
        <v>1.52E-2</v>
      </c>
      <c r="Z7" s="1">
        <v>1.46E-2</v>
      </c>
      <c r="AA7" s="1">
        <v>1.5699999999999999E-2</v>
      </c>
      <c r="AB7" s="1">
        <v>1.6299999999999999E-2</v>
      </c>
      <c r="AC7" s="1">
        <v>1.49E-2</v>
      </c>
      <c r="AD7" s="1">
        <v>1.4800000000000001E-2</v>
      </c>
      <c r="AE7" s="1">
        <v>1.6E-2</v>
      </c>
      <c r="AF7" s="1">
        <v>1.5599999999999999E-2</v>
      </c>
      <c r="AG7" s="1">
        <v>1.5299999999999999E-2</v>
      </c>
      <c r="AH7" s="1">
        <v>1.52E-2</v>
      </c>
      <c r="AI7" s="1">
        <v>1.52E-2</v>
      </c>
      <c r="AJ7" s="1">
        <v>1.0999999999999999E-2</v>
      </c>
      <c r="AK7" s="1">
        <v>1.09E-2</v>
      </c>
      <c r="AL7" s="1">
        <v>1.17E-2</v>
      </c>
      <c r="AM7" s="1">
        <v>1.15E-2</v>
      </c>
      <c r="AN7" s="1">
        <v>1.1299999999999999E-2</v>
      </c>
      <c r="AO7" s="1">
        <v>1.1599999999999999E-2</v>
      </c>
      <c r="AP7" s="1">
        <v>1.52E-2</v>
      </c>
      <c r="AQ7" s="1">
        <v>1.5699999999999999E-2</v>
      </c>
      <c r="AR7" s="1">
        <v>1.52E-2</v>
      </c>
      <c r="AS7" s="1">
        <v>1.6E-2</v>
      </c>
      <c r="AT7" s="1">
        <v>1.49E-2</v>
      </c>
      <c r="AU7" s="1">
        <v>1.54E-2</v>
      </c>
      <c r="AV7" s="1">
        <v>1.5100000000000001E-2</v>
      </c>
      <c r="AW7" s="1">
        <v>1.54E-2</v>
      </c>
      <c r="AX7" s="1">
        <v>1.18E-2</v>
      </c>
      <c r="AY7" s="1">
        <v>1.11E-2</v>
      </c>
      <c r="AZ7" s="1">
        <v>1.5299999999999999E-2</v>
      </c>
      <c r="BA7" s="1">
        <v>1.6299999999999999E-2</v>
      </c>
      <c r="BB7" s="1">
        <v>1.5599999999999999E-2</v>
      </c>
      <c r="BC7" s="1">
        <v>1.46E-2</v>
      </c>
      <c r="BD7" s="1">
        <v>1.55E-2</v>
      </c>
      <c r="BE7" s="1">
        <v>1.55E-2</v>
      </c>
      <c r="BF7" s="1">
        <v>1.6299999999999999E-2</v>
      </c>
      <c r="BG7" s="1">
        <v>1.09E-2</v>
      </c>
      <c r="BH7" s="1">
        <v>1.47E-2</v>
      </c>
      <c r="BI7" s="1">
        <v>1.54E-2</v>
      </c>
      <c r="BJ7" s="1">
        <v>1.54E-2</v>
      </c>
      <c r="BK7" s="1">
        <v>1.6199999999999999E-2</v>
      </c>
      <c r="BL7" s="1">
        <v>1.5599999999999999E-2</v>
      </c>
      <c r="BM7" s="1">
        <v>1.55E-2</v>
      </c>
      <c r="BN7" s="10">
        <v>1.54E-2</v>
      </c>
      <c r="BO7" s="10">
        <v>1.46E-2</v>
      </c>
      <c r="BP7" s="10">
        <v>1.4800000000000001E-2</v>
      </c>
      <c r="BQ7" s="10">
        <v>1.5900000000000001E-2</v>
      </c>
      <c r="BR7" s="10">
        <v>1.55E-2</v>
      </c>
      <c r="BS7" s="10">
        <v>1.52E-2</v>
      </c>
      <c r="BT7" s="10">
        <v>1.5599999999999999E-2</v>
      </c>
      <c r="BU7" s="10">
        <v>1.6E-2</v>
      </c>
      <c r="BV7" s="10">
        <v>1.6299999999999999E-2</v>
      </c>
      <c r="BW7" s="10">
        <v>1.09E-2</v>
      </c>
      <c r="BX7" s="10">
        <v>1.09E-2</v>
      </c>
      <c r="BY7" s="10">
        <v>1.5299999999999999E-2</v>
      </c>
      <c r="BZ7" s="10">
        <v>1.44E-2</v>
      </c>
    </row>
    <row r="8" spans="1:78" x14ac:dyDescent="0.3">
      <c r="A8" s="13" t="s">
        <v>162</v>
      </c>
      <c r="B8" s="1">
        <v>1.44E-2</v>
      </c>
      <c r="C8" s="1">
        <v>0</v>
      </c>
      <c r="D8" s="1">
        <v>1.52E-2</v>
      </c>
      <c r="E8" s="1">
        <v>1.5900000000000001E-2</v>
      </c>
      <c r="F8" s="1">
        <v>1.54E-2</v>
      </c>
      <c r="G8" s="1">
        <v>1.47E-2</v>
      </c>
      <c r="H8" s="1">
        <v>1.44E-2</v>
      </c>
      <c r="I8" s="1">
        <v>0</v>
      </c>
      <c r="J8" s="1">
        <v>0</v>
      </c>
      <c r="K8" s="1">
        <v>1.38E-2</v>
      </c>
      <c r="L8" s="1">
        <v>1.46E-2</v>
      </c>
      <c r="M8" s="1">
        <v>1.54E-2</v>
      </c>
      <c r="N8" s="1">
        <v>0</v>
      </c>
      <c r="O8" s="1">
        <v>0</v>
      </c>
      <c r="P8" s="1">
        <v>1.4999999999999999E-2</v>
      </c>
      <c r="Q8" s="1">
        <v>0</v>
      </c>
      <c r="R8" s="1">
        <v>1.4200000000000001E-2</v>
      </c>
      <c r="S8" s="1">
        <v>1.47E-2</v>
      </c>
      <c r="T8" s="1">
        <v>1.5599999999999999E-2</v>
      </c>
      <c r="U8" s="1">
        <v>0</v>
      </c>
      <c r="V8" s="1">
        <v>1.5599999999999999E-2</v>
      </c>
      <c r="W8" s="1">
        <v>1.4500000000000001E-2</v>
      </c>
      <c r="X8" s="1">
        <v>1.49E-2</v>
      </c>
      <c r="Y8" s="1">
        <v>1.49E-2</v>
      </c>
      <c r="Z8" s="1">
        <v>1.5900000000000001E-2</v>
      </c>
      <c r="AA8" s="1">
        <v>1.52E-2</v>
      </c>
      <c r="AB8" s="1">
        <v>1.47E-2</v>
      </c>
      <c r="AC8" s="1">
        <v>1.5699999999999999E-2</v>
      </c>
      <c r="AD8" s="1">
        <v>1.6799999999999999E-2</v>
      </c>
      <c r="AE8" s="1">
        <v>1.4999999999999999E-2</v>
      </c>
      <c r="AF8" s="1">
        <v>1.44E-2</v>
      </c>
      <c r="AG8" s="1">
        <v>1.54E-2</v>
      </c>
      <c r="AH8" s="1">
        <v>1.47E-2</v>
      </c>
      <c r="AI8" s="1">
        <v>1.6500000000000001E-2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1.4800000000000001E-2</v>
      </c>
      <c r="AQ8" s="1">
        <v>0</v>
      </c>
      <c r="AR8" s="1">
        <v>1.4500000000000001E-2</v>
      </c>
      <c r="AS8" s="1">
        <v>1.47E-2</v>
      </c>
      <c r="AT8" s="1">
        <v>1.49E-2</v>
      </c>
      <c r="AU8" s="1">
        <v>1.49E-2</v>
      </c>
      <c r="AV8" s="1">
        <v>1.5100000000000001E-2</v>
      </c>
      <c r="AW8" s="1">
        <v>1.5100000000000001E-2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1.6799999999999999E-2</v>
      </c>
      <c r="BD8" s="1">
        <v>0</v>
      </c>
      <c r="BE8" s="1">
        <v>0</v>
      </c>
      <c r="BF8" s="1">
        <v>1.47E-2</v>
      </c>
      <c r="BG8" s="1">
        <v>0</v>
      </c>
      <c r="BH8" s="1">
        <v>1.4800000000000001E-2</v>
      </c>
      <c r="BI8" s="1">
        <v>1.5699999999999999E-2</v>
      </c>
      <c r="BJ8" s="1">
        <v>1.44E-2</v>
      </c>
      <c r="BK8" s="1">
        <v>0</v>
      </c>
      <c r="BL8" s="1">
        <v>0</v>
      </c>
      <c r="BM8" s="1">
        <v>1.49E-2</v>
      </c>
      <c r="BN8" s="10">
        <v>1.4800000000000001E-2</v>
      </c>
      <c r="BO8" s="10">
        <v>1.6299999999999999E-2</v>
      </c>
      <c r="BP8" s="10">
        <v>1.6500000000000001E-2</v>
      </c>
      <c r="BQ8" s="10">
        <v>0</v>
      </c>
      <c r="BR8" s="10">
        <v>0</v>
      </c>
      <c r="BS8" s="10">
        <v>1.46E-2</v>
      </c>
      <c r="BT8" s="10">
        <v>1.46E-2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1.6E-2</v>
      </c>
    </row>
    <row r="9" spans="1:78" x14ac:dyDescent="0.3">
      <c r="A9" s="13" t="s">
        <v>163</v>
      </c>
      <c r="B9" s="1">
        <v>0</v>
      </c>
      <c r="C9" s="1">
        <v>0</v>
      </c>
      <c r="D9" s="1">
        <v>1.0800000000000001E-2</v>
      </c>
      <c r="E9" s="1">
        <v>1.0999999999999999E-2</v>
      </c>
      <c r="F9" s="1">
        <v>1.0999999999999999E-2</v>
      </c>
      <c r="G9" s="1">
        <v>0</v>
      </c>
      <c r="H9" s="1">
        <v>0</v>
      </c>
      <c r="I9" s="1">
        <v>0</v>
      </c>
      <c r="J9" s="1">
        <v>1.14E-2</v>
      </c>
      <c r="K9" s="1">
        <v>1.12E-2</v>
      </c>
      <c r="L9" s="1">
        <v>0</v>
      </c>
      <c r="M9" s="1">
        <v>1.0699999999999999E-2</v>
      </c>
      <c r="N9" s="1">
        <v>1.0500000000000001E-2</v>
      </c>
      <c r="O9" s="1">
        <v>1.03E-2</v>
      </c>
      <c r="P9" s="1">
        <v>0</v>
      </c>
      <c r="Q9" s="1">
        <v>0</v>
      </c>
      <c r="R9" s="1">
        <v>1.0699999999999999E-2</v>
      </c>
      <c r="S9" s="1">
        <v>1.03E-2</v>
      </c>
      <c r="T9" s="1">
        <v>1.11E-2</v>
      </c>
      <c r="U9" s="1">
        <v>0</v>
      </c>
      <c r="V9" s="1">
        <v>1.1299999999999999E-2</v>
      </c>
      <c r="W9" s="1">
        <v>1.11E-2</v>
      </c>
      <c r="X9" s="1">
        <v>0</v>
      </c>
      <c r="Y9" s="1">
        <v>1.21E-2</v>
      </c>
      <c r="Z9" s="1">
        <v>1.1299999999999999E-2</v>
      </c>
      <c r="AA9" s="1">
        <v>1.1900000000000001E-2</v>
      </c>
      <c r="AB9" s="1">
        <v>0</v>
      </c>
      <c r="AC9" s="1">
        <v>1.14E-2</v>
      </c>
      <c r="AD9" s="1">
        <v>1.0999999999999999E-2</v>
      </c>
      <c r="AE9" s="1">
        <v>1.17E-2</v>
      </c>
      <c r="AF9" s="1">
        <v>0</v>
      </c>
      <c r="AG9" s="1">
        <v>1.09E-2</v>
      </c>
      <c r="AH9" s="1">
        <v>1.2200000000000001E-2</v>
      </c>
      <c r="AI9" s="1">
        <v>1.15E-2</v>
      </c>
      <c r="AJ9" s="1">
        <v>0</v>
      </c>
      <c r="AK9" s="1">
        <v>0</v>
      </c>
      <c r="AL9" s="1">
        <v>0</v>
      </c>
      <c r="AM9" s="1">
        <v>1.1299999999999999E-2</v>
      </c>
      <c r="AN9" s="1">
        <v>0</v>
      </c>
      <c r="AO9" s="1">
        <v>0</v>
      </c>
      <c r="AP9" s="1">
        <v>1.2200000000000001E-2</v>
      </c>
      <c r="AQ9" s="1">
        <v>1.0699999999999999E-2</v>
      </c>
      <c r="AR9" s="1">
        <v>1.17E-2</v>
      </c>
      <c r="AS9" s="1">
        <v>0</v>
      </c>
      <c r="AT9" s="1">
        <v>1.2E-2</v>
      </c>
      <c r="AU9" s="1">
        <v>1.2200000000000001E-2</v>
      </c>
      <c r="AV9" s="1">
        <v>1.17E-2</v>
      </c>
      <c r="AW9" s="1">
        <v>1.18E-2</v>
      </c>
      <c r="AX9" s="1">
        <v>0</v>
      </c>
      <c r="AY9" s="1">
        <v>0</v>
      </c>
      <c r="AZ9" s="1">
        <v>0</v>
      </c>
      <c r="BA9" s="1">
        <v>0</v>
      </c>
      <c r="BB9" s="1">
        <v>1.5599999999999999E-2</v>
      </c>
      <c r="BC9" s="1">
        <v>1.3100000000000001E-2</v>
      </c>
      <c r="BD9" s="1">
        <v>1.23E-2</v>
      </c>
      <c r="BE9" s="1">
        <v>1.09E-2</v>
      </c>
      <c r="BF9" s="1">
        <v>1.09E-2</v>
      </c>
      <c r="BG9" s="1">
        <v>0</v>
      </c>
      <c r="BH9" s="1">
        <v>1.2200000000000001E-2</v>
      </c>
      <c r="BI9" s="1">
        <v>1.14E-2</v>
      </c>
      <c r="BJ9" s="1">
        <v>1.2E-2</v>
      </c>
      <c r="BK9" s="1">
        <v>0</v>
      </c>
      <c r="BL9" s="1">
        <v>0</v>
      </c>
      <c r="BM9" s="1">
        <v>1.24E-2</v>
      </c>
      <c r="BN9" s="10">
        <v>1.12E-2</v>
      </c>
      <c r="BO9" s="10">
        <v>1.2500000000000001E-2</v>
      </c>
      <c r="BP9" s="10">
        <v>1.26E-2</v>
      </c>
      <c r="BQ9" s="10">
        <v>0</v>
      </c>
      <c r="BR9" s="10">
        <v>0</v>
      </c>
      <c r="BS9" s="10">
        <v>1.1900000000000001E-2</v>
      </c>
      <c r="BT9" s="10">
        <v>1.26E-2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1.29E-2</v>
      </c>
    </row>
    <row r="10" spans="1:78" x14ac:dyDescent="0.3">
      <c r="A10" s="13" t="s">
        <v>191</v>
      </c>
      <c r="B10" s="1">
        <v>7.6600000000000001E-2</v>
      </c>
      <c r="C10" s="1">
        <v>0</v>
      </c>
      <c r="D10" s="1">
        <v>9.5200000000000007E-2</v>
      </c>
      <c r="E10" s="1">
        <v>8.9399999999999993E-2</v>
      </c>
      <c r="F10" s="1">
        <v>9.3200000000000005E-2</v>
      </c>
      <c r="G10" s="1">
        <v>8.14E-2</v>
      </c>
      <c r="H10" s="1">
        <v>8.3400000000000002E-2</v>
      </c>
      <c r="I10" s="1">
        <v>7.4800000000000005E-2</v>
      </c>
      <c r="J10" s="1">
        <v>7.9500000000000001E-2</v>
      </c>
      <c r="K10" s="1">
        <v>9.5699999999999993E-2</v>
      </c>
      <c r="L10" s="1">
        <v>0</v>
      </c>
      <c r="M10" s="1">
        <v>9.0300000000000005E-2</v>
      </c>
      <c r="N10" s="1">
        <v>8.7499999999999994E-2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8.3799999999999999E-2</v>
      </c>
      <c r="U10" s="1">
        <v>6.9199999999999998E-2</v>
      </c>
      <c r="V10" s="1">
        <v>9.9699999999999997E-2</v>
      </c>
      <c r="W10" s="1">
        <v>8.3000000000000004E-2</v>
      </c>
      <c r="X10" s="1">
        <v>8.4199999999999997E-2</v>
      </c>
      <c r="Y10" s="1">
        <v>0.1004</v>
      </c>
      <c r="Z10" s="1">
        <v>0</v>
      </c>
      <c r="AA10" s="1">
        <v>9.8400000000000001E-2</v>
      </c>
      <c r="AB10" s="1" t="s">
        <v>160</v>
      </c>
      <c r="AC10" s="1">
        <v>9.3299999999999994E-2</v>
      </c>
      <c r="AD10" s="1">
        <v>9.2899999999999996E-2</v>
      </c>
      <c r="AE10" s="1">
        <v>0.10780000000000001</v>
      </c>
      <c r="AF10" s="1">
        <v>7.6600000000000001E-2</v>
      </c>
      <c r="AG10" s="1">
        <v>8.7900000000000006E-2</v>
      </c>
      <c r="AH10" s="1">
        <v>9.74E-2</v>
      </c>
      <c r="AI10" s="1">
        <v>8.7400000000000005E-2</v>
      </c>
      <c r="AJ10" s="1" t="s">
        <v>160</v>
      </c>
      <c r="AK10" s="1">
        <v>8.3699999999999997E-2</v>
      </c>
      <c r="AL10" s="1">
        <v>0</v>
      </c>
      <c r="AM10" s="1">
        <v>0</v>
      </c>
      <c r="AN10" s="1">
        <v>8.8900000000000007E-2</v>
      </c>
      <c r="AO10" s="1">
        <v>0</v>
      </c>
      <c r="AP10" s="1">
        <v>9.98E-2</v>
      </c>
      <c r="AQ10" s="1">
        <v>8.43E-2</v>
      </c>
      <c r="AR10" s="1">
        <v>9.7299999999999998E-2</v>
      </c>
      <c r="AS10" s="1">
        <v>0</v>
      </c>
      <c r="AT10" s="1">
        <v>0.1007</v>
      </c>
      <c r="AU10" s="1">
        <v>0.1036</v>
      </c>
      <c r="AV10" s="1">
        <v>0.1012</v>
      </c>
      <c r="AW10" s="1">
        <v>0.1066</v>
      </c>
      <c r="AX10" s="1">
        <v>0</v>
      </c>
      <c r="AY10" s="1">
        <v>0</v>
      </c>
      <c r="AZ10" s="1">
        <v>0</v>
      </c>
      <c r="BA10" s="1">
        <v>9.3700000000000006E-2</v>
      </c>
      <c r="BB10" s="1">
        <v>9.7799999999999998E-2</v>
      </c>
      <c r="BC10" s="1">
        <v>9.0200000000000002E-2</v>
      </c>
      <c r="BD10" s="1">
        <v>0</v>
      </c>
      <c r="BE10" s="1">
        <v>0</v>
      </c>
      <c r="BF10" s="1">
        <v>7.7499999999999999E-2</v>
      </c>
      <c r="BG10" s="1">
        <v>8.6300000000000002E-2</v>
      </c>
      <c r="BH10" s="1">
        <v>0.1013</v>
      </c>
      <c r="BI10" s="1">
        <v>8.7300000000000003E-2</v>
      </c>
      <c r="BJ10" s="1">
        <v>9.7000000000000003E-2</v>
      </c>
      <c r="BK10" s="1">
        <v>0</v>
      </c>
      <c r="BL10" s="1">
        <v>0.1007</v>
      </c>
      <c r="BM10" s="1">
        <v>0.1027</v>
      </c>
      <c r="BN10" s="10">
        <v>8.6999999999999994E-2</v>
      </c>
      <c r="BO10" s="10">
        <v>9.2399999999999996E-2</v>
      </c>
      <c r="BP10" s="10">
        <v>9.6199999999999994E-2</v>
      </c>
      <c r="BQ10" s="10">
        <v>0</v>
      </c>
      <c r="BR10" s="10">
        <v>0</v>
      </c>
      <c r="BS10" s="10">
        <v>0.10059999999999999</v>
      </c>
      <c r="BT10" s="10">
        <v>9.6699999999999994E-2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9.7799999999999998E-2</v>
      </c>
    </row>
    <row r="11" spans="1:78" x14ac:dyDescent="0.3">
      <c r="A11" s="13" t="s">
        <v>164</v>
      </c>
      <c r="B11" s="1">
        <v>0</v>
      </c>
      <c r="C11" s="1">
        <v>0</v>
      </c>
      <c r="D11" s="1">
        <v>9.0800000000000006E-2</v>
      </c>
      <c r="E11" s="1">
        <v>8.2500000000000004E-2</v>
      </c>
      <c r="F11" s="1">
        <v>8.3500000000000005E-2</v>
      </c>
      <c r="G11" s="1">
        <v>0</v>
      </c>
      <c r="H11" s="1">
        <v>0</v>
      </c>
      <c r="I11" s="1">
        <v>0</v>
      </c>
      <c r="J11" s="1">
        <v>9.1300000000000006E-2</v>
      </c>
      <c r="K11" s="1">
        <v>7.6899999999999996E-2</v>
      </c>
      <c r="L11" s="1">
        <v>0</v>
      </c>
      <c r="M11" s="1">
        <v>8.1799999999999998E-2</v>
      </c>
      <c r="N11" s="1">
        <v>0</v>
      </c>
      <c r="O11" s="1">
        <v>0</v>
      </c>
      <c r="P11" s="1">
        <v>0</v>
      </c>
      <c r="Q11" s="1">
        <v>0</v>
      </c>
      <c r="R11" s="1">
        <v>6.7699999999999996E-2</v>
      </c>
      <c r="S11" s="1">
        <v>7.1199999999999999E-2</v>
      </c>
      <c r="T11" s="1">
        <v>8.7900000000000006E-2</v>
      </c>
      <c r="U11" s="1">
        <v>0</v>
      </c>
      <c r="V11" s="1">
        <v>8.0799999999999997E-2</v>
      </c>
      <c r="W11" s="1">
        <v>7.3099999999999998E-2</v>
      </c>
      <c r="X11" s="1" t="s">
        <v>160</v>
      </c>
      <c r="Y11" s="1">
        <v>8.7400000000000005E-2</v>
      </c>
      <c r="Z11" s="1">
        <v>9.01E-2</v>
      </c>
      <c r="AA11" s="1">
        <v>8.3900000000000002E-2</v>
      </c>
      <c r="AB11" s="1">
        <v>7.1999999999999995E-2</v>
      </c>
      <c r="AC11" s="1">
        <v>7.1800000000000003E-2</v>
      </c>
      <c r="AD11" s="1" t="s">
        <v>160</v>
      </c>
      <c r="AE11" s="1">
        <v>9.7199999999999995E-2</v>
      </c>
      <c r="AF11" s="1">
        <v>0</v>
      </c>
      <c r="AG11" s="1">
        <v>7.5999999999999998E-2</v>
      </c>
      <c r="AH11" s="1">
        <v>7.8799999999999995E-2</v>
      </c>
      <c r="AI11" s="1">
        <v>8.2900000000000001E-2</v>
      </c>
      <c r="AJ11" s="1">
        <v>8.1699999999999995E-2</v>
      </c>
      <c r="AK11" s="1">
        <v>7.9899999999999999E-2</v>
      </c>
      <c r="AL11" s="1">
        <v>9.1200000000000003E-2</v>
      </c>
      <c r="AM11" s="1">
        <v>8.2799999999999999E-2</v>
      </c>
      <c r="AN11" s="1">
        <v>0</v>
      </c>
      <c r="AO11" s="1">
        <v>7.6799999999999993E-2</v>
      </c>
      <c r="AP11" s="1">
        <v>7.0199999999999999E-2</v>
      </c>
      <c r="AQ11" s="1">
        <v>0</v>
      </c>
      <c r="AR11" s="1">
        <v>7.8700000000000006E-2</v>
      </c>
      <c r="AS11" s="1">
        <v>6.88E-2</v>
      </c>
      <c r="AT11" s="1">
        <v>7.5399999999999995E-2</v>
      </c>
      <c r="AU11" s="1">
        <v>8.5300000000000001E-2</v>
      </c>
      <c r="AV11" s="1">
        <v>7.9899999999999999E-2</v>
      </c>
      <c r="AW11" s="1">
        <v>8.3699999999999997E-2</v>
      </c>
      <c r="AX11" s="1">
        <v>8.0699999999999994E-2</v>
      </c>
      <c r="AY11" s="1">
        <v>0</v>
      </c>
      <c r="AZ11" s="1">
        <v>9.5399999999999999E-2</v>
      </c>
      <c r="BA11" s="1">
        <v>9.6500000000000002E-2</v>
      </c>
      <c r="BB11" s="1">
        <v>9.7199999999999995E-2</v>
      </c>
      <c r="BC11" s="1">
        <v>8.6499999999999994E-2</v>
      </c>
      <c r="BD11" s="1">
        <v>9.8000000000000004E-2</v>
      </c>
      <c r="BE11" s="1">
        <v>8.1600000000000006E-2</v>
      </c>
      <c r="BF11" s="1">
        <v>6.9900000000000004E-2</v>
      </c>
      <c r="BG11" s="1" t="s">
        <v>160</v>
      </c>
      <c r="BH11" s="1">
        <v>9.0200000000000002E-2</v>
      </c>
      <c r="BI11" s="1">
        <v>8.1299999999999997E-2</v>
      </c>
      <c r="BJ11" s="1">
        <v>8.4699999999999998E-2</v>
      </c>
      <c r="BK11" s="1">
        <v>0</v>
      </c>
      <c r="BL11" s="1">
        <v>9.5799999999999996E-2</v>
      </c>
      <c r="BM11" s="1">
        <v>8.0600000000000005E-2</v>
      </c>
      <c r="BN11" s="10">
        <v>7.5399999999999995E-2</v>
      </c>
      <c r="BO11" s="10">
        <v>7.6899999999999996E-2</v>
      </c>
      <c r="BP11" s="10">
        <v>7.7899999999999997E-2</v>
      </c>
      <c r="BQ11" s="10">
        <v>0.1022</v>
      </c>
      <c r="BR11" s="10">
        <v>9.2499999999999999E-2</v>
      </c>
      <c r="BS11" s="10">
        <v>6.9599999999999995E-2</v>
      </c>
      <c r="BT11" s="10">
        <v>8.1500000000000003E-2</v>
      </c>
      <c r="BU11" s="10">
        <v>8.8800000000000004E-2</v>
      </c>
      <c r="BV11" s="10">
        <v>9.7699999999999995E-2</v>
      </c>
      <c r="BW11" s="10">
        <v>7.22E-2</v>
      </c>
      <c r="BX11" s="10">
        <v>8.3000000000000004E-2</v>
      </c>
      <c r="BY11" s="10">
        <v>9.7799999999999998E-2</v>
      </c>
      <c r="BZ11" s="10">
        <v>0</v>
      </c>
    </row>
    <row r="12" spans="1:78" x14ac:dyDescent="0.3">
      <c r="A12" s="13" t="s">
        <v>188</v>
      </c>
      <c r="B12" s="1">
        <v>1.1900000000000001E-2</v>
      </c>
      <c r="C12" s="1">
        <v>1.0999999999999999E-2</v>
      </c>
      <c r="D12" s="1">
        <v>1.2699999999999999E-2</v>
      </c>
      <c r="E12" s="1">
        <v>1.1299999999999999E-2</v>
      </c>
      <c r="F12" s="1">
        <v>1.2500000000000001E-2</v>
      </c>
      <c r="G12" s="1">
        <v>1.23E-2</v>
      </c>
      <c r="H12" s="1">
        <v>1.21E-2</v>
      </c>
      <c r="I12" s="1">
        <v>0</v>
      </c>
      <c r="J12" s="1">
        <v>1.2E-2</v>
      </c>
      <c r="K12" s="1">
        <v>1.3599999999999999E-2</v>
      </c>
      <c r="L12" s="1">
        <v>1.21E-2</v>
      </c>
      <c r="M12" s="1">
        <v>1.21E-2</v>
      </c>
      <c r="N12" s="1">
        <v>0</v>
      </c>
      <c r="O12" s="1">
        <v>1.1599999999999999E-2</v>
      </c>
      <c r="P12" s="1">
        <v>1.18E-2</v>
      </c>
      <c r="Q12" s="1">
        <v>1.2E-2</v>
      </c>
      <c r="R12" s="1">
        <v>1.1900000000000001E-2</v>
      </c>
      <c r="S12" s="1">
        <v>1.21E-2</v>
      </c>
      <c r="T12" s="1">
        <v>1.2800000000000001E-2</v>
      </c>
      <c r="U12" s="1">
        <v>1.15E-2</v>
      </c>
      <c r="V12" s="1">
        <v>1.24E-2</v>
      </c>
      <c r="W12" s="1">
        <v>1.24E-2</v>
      </c>
      <c r="X12" s="1">
        <v>0</v>
      </c>
      <c r="Y12" s="1">
        <v>1.32E-2</v>
      </c>
      <c r="Z12" s="1">
        <v>1.24E-2</v>
      </c>
      <c r="AA12" s="1">
        <v>1.34E-2</v>
      </c>
      <c r="AB12" s="1">
        <v>1.18E-2</v>
      </c>
      <c r="AC12" s="1">
        <v>1.2699999999999999E-2</v>
      </c>
      <c r="AD12" s="1">
        <v>1.23E-2</v>
      </c>
      <c r="AE12" s="1">
        <v>1.24E-2</v>
      </c>
      <c r="AF12" s="1">
        <v>1.15E-2</v>
      </c>
      <c r="AG12" s="1">
        <v>1.29E-2</v>
      </c>
      <c r="AH12" s="1">
        <v>1.2699999999999999E-2</v>
      </c>
      <c r="AI12" s="1">
        <v>1.2999999999999999E-2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1.34E-2</v>
      </c>
      <c r="AQ12" s="1">
        <v>1.2E-2</v>
      </c>
      <c r="AR12" s="1">
        <v>1.2699999999999999E-2</v>
      </c>
      <c r="AS12" s="1">
        <v>0</v>
      </c>
      <c r="AT12" s="1">
        <v>1.3100000000000001E-2</v>
      </c>
      <c r="AU12" s="1">
        <v>1.32E-2</v>
      </c>
      <c r="AV12" s="1">
        <v>1.35E-2</v>
      </c>
      <c r="AW12" s="1">
        <v>1.29E-2</v>
      </c>
      <c r="AX12" s="1">
        <v>0</v>
      </c>
      <c r="AY12" s="1">
        <v>0</v>
      </c>
      <c r="AZ12" s="1">
        <v>1.7600000000000001E-2</v>
      </c>
      <c r="BA12" s="1">
        <v>1.7100000000000001E-2</v>
      </c>
      <c r="BB12" s="1">
        <v>1.7500000000000002E-2</v>
      </c>
      <c r="BC12" s="1">
        <v>1.4800000000000001E-2</v>
      </c>
      <c r="BD12" s="1">
        <v>1.35E-2</v>
      </c>
      <c r="BE12" s="1">
        <v>1.12E-2</v>
      </c>
      <c r="BF12" s="1">
        <v>1.23E-2</v>
      </c>
      <c r="BG12" s="1">
        <v>0</v>
      </c>
      <c r="BH12" s="1">
        <v>1.26E-2</v>
      </c>
      <c r="BI12" s="1">
        <v>1.2200000000000001E-2</v>
      </c>
      <c r="BJ12" s="1">
        <v>1.3100000000000001E-2</v>
      </c>
      <c r="BK12" s="1">
        <v>0</v>
      </c>
      <c r="BL12" s="1">
        <v>0</v>
      </c>
      <c r="BM12" s="1">
        <v>1.35E-2</v>
      </c>
      <c r="BN12" s="10">
        <v>1.29E-2</v>
      </c>
      <c r="BO12" s="10">
        <v>1.4800000000000001E-2</v>
      </c>
      <c r="BP12" s="10">
        <v>1.4800000000000001E-2</v>
      </c>
      <c r="BQ12" s="10">
        <v>1.7999999999999999E-2</v>
      </c>
      <c r="BR12" s="10">
        <v>0</v>
      </c>
      <c r="BS12" s="10">
        <v>1.3100000000000001E-2</v>
      </c>
      <c r="BT12" s="10">
        <v>1.23E-2</v>
      </c>
      <c r="BU12" s="10">
        <v>1.7299999999999999E-2</v>
      </c>
      <c r="BV12" s="10">
        <v>1.7299999999999999E-2</v>
      </c>
      <c r="BW12" s="10">
        <v>0</v>
      </c>
      <c r="BX12" s="10">
        <v>0</v>
      </c>
      <c r="BY12" s="10">
        <v>0</v>
      </c>
      <c r="BZ12" s="10">
        <v>1.54E-2</v>
      </c>
    </row>
    <row r="13" spans="1:78" x14ac:dyDescent="0.3">
      <c r="A13" s="13" t="s">
        <v>165</v>
      </c>
      <c r="B13" s="1">
        <v>0</v>
      </c>
      <c r="C13" s="1">
        <v>0</v>
      </c>
      <c r="D13" s="1">
        <v>1.3599999999999999E-2</v>
      </c>
      <c r="E13" s="1">
        <v>1.2699999999999999E-2</v>
      </c>
      <c r="F13" s="1">
        <v>1.3599999999999999E-2</v>
      </c>
      <c r="G13" s="1">
        <v>0</v>
      </c>
      <c r="H13" s="1">
        <v>1.0999999999999999E-2</v>
      </c>
      <c r="I13" s="1">
        <v>1.7100000000000001E-2</v>
      </c>
      <c r="J13" s="1">
        <v>1.4E-2</v>
      </c>
      <c r="K13" s="1">
        <v>1.14E-2</v>
      </c>
      <c r="L13" s="1">
        <v>1.18E-2</v>
      </c>
      <c r="M13" s="1">
        <v>1.4200000000000001E-2</v>
      </c>
      <c r="N13" s="1">
        <v>1.24E-2</v>
      </c>
      <c r="O13" s="1">
        <v>0</v>
      </c>
      <c r="P13" s="1">
        <v>0</v>
      </c>
      <c r="Q13" s="1">
        <v>1.09E-2</v>
      </c>
      <c r="R13" s="1">
        <v>0</v>
      </c>
      <c r="S13" s="1">
        <v>0</v>
      </c>
      <c r="T13" s="1">
        <v>1.37E-2</v>
      </c>
      <c r="U13" s="1">
        <v>0</v>
      </c>
      <c r="V13" s="1">
        <v>1.43E-2</v>
      </c>
      <c r="W13" s="1">
        <v>1.15E-2</v>
      </c>
      <c r="X13" s="1">
        <v>1.1299999999999999E-2</v>
      </c>
      <c r="Y13" s="1">
        <v>1.26E-2</v>
      </c>
      <c r="Z13" s="1">
        <v>1.26E-2</v>
      </c>
      <c r="AA13" s="1">
        <v>1.24E-2</v>
      </c>
      <c r="AB13" s="1">
        <v>1.14E-2</v>
      </c>
      <c r="AC13" s="1">
        <v>1.4200000000000001E-2</v>
      </c>
      <c r="AD13" s="1">
        <v>1.3299999999999999E-2</v>
      </c>
      <c r="AE13" s="1">
        <v>1.26E-2</v>
      </c>
      <c r="AF13" s="1">
        <v>0</v>
      </c>
      <c r="AG13" s="1">
        <v>1.4E-2</v>
      </c>
      <c r="AH13" s="1">
        <v>1.21E-2</v>
      </c>
      <c r="AI13" s="1">
        <v>1.2699999999999999E-2</v>
      </c>
      <c r="AJ13" s="1">
        <v>1.5699999999999999E-2</v>
      </c>
      <c r="AK13" s="1">
        <v>1.54E-2</v>
      </c>
      <c r="AL13" s="1">
        <v>1.5800000000000002E-2</v>
      </c>
      <c r="AM13" s="1">
        <v>1.54E-2</v>
      </c>
      <c r="AN13" s="1">
        <v>1.5800000000000002E-2</v>
      </c>
      <c r="AO13" s="1">
        <v>1.5699999999999999E-2</v>
      </c>
      <c r="AP13" s="1">
        <v>1.29E-2</v>
      </c>
      <c r="AQ13" s="1">
        <v>0</v>
      </c>
      <c r="AR13" s="1">
        <v>1.29E-2</v>
      </c>
      <c r="AS13" s="1">
        <v>0</v>
      </c>
      <c r="AT13" s="1">
        <v>1.24E-2</v>
      </c>
      <c r="AU13" s="1">
        <v>1.23E-2</v>
      </c>
      <c r="AV13" s="1">
        <v>1.24E-2</v>
      </c>
      <c r="AW13" s="1">
        <v>1.29E-2</v>
      </c>
      <c r="AX13" s="1">
        <v>1.52E-2</v>
      </c>
      <c r="AY13" s="1">
        <v>1.5699999999999999E-2</v>
      </c>
      <c r="AZ13" s="1">
        <v>1.3899999999999999E-2</v>
      </c>
      <c r="BA13" s="1">
        <v>1.38E-2</v>
      </c>
      <c r="BB13" s="1">
        <v>1.37E-2</v>
      </c>
      <c r="BC13" s="1">
        <v>1.49E-2</v>
      </c>
      <c r="BD13" s="1">
        <v>1.44E-2</v>
      </c>
      <c r="BE13" s="1">
        <v>0</v>
      </c>
      <c r="BF13" s="1">
        <v>0</v>
      </c>
      <c r="BG13" s="1">
        <v>1.5599999999999999E-2</v>
      </c>
      <c r="BH13" s="1">
        <v>1.26E-2</v>
      </c>
      <c r="BI13" s="1">
        <v>1.38E-2</v>
      </c>
      <c r="BJ13" s="1">
        <v>1.2699999999999999E-2</v>
      </c>
      <c r="BK13" s="1">
        <v>1.43E-2</v>
      </c>
      <c r="BL13" s="1">
        <v>1.4E-2</v>
      </c>
      <c r="BM13" s="1">
        <v>1.2999999999999999E-2</v>
      </c>
      <c r="BN13" s="10">
        <v>1.2699999999999999E-2</v>
      </c>
      <c r="BO13" s="10">
        <v>1.41E-2</v>
      </c>
      <c r="BP13" s="10">
        <v>1.4E-2</v>
      </c>
      <c r="BQ13" s="10">
        <v>1.46E-2</v>
      </c>
      <c r="BR13" s="10">
        <v>1.46E-2</v>
      </c>
      <c r="BS13" s="10">
        <v>1.2800000000000001E-2</v>
      </c>
      <c r="BT13" s="10">
        <v>1.29E-2</v>
      </c>
      <c r="BU13" s="10">
        <v>1.4200000000000001E-2</v>
      </c>
      <c r="BV13" s="10">
        <v>1.4200000000000001E-2</v>
      </c>
      <c r="BW13" s="10">
        <v>1.5900000000000001E-2</v>
      </c>
      <c r="BX13" s="10">
        <v>1.6299999999999999E-2</v>
      </c>
      <c r="BY13" s="10">
        <v>1.43E-2</v>
      </c>
      <c r="BZ13" s="10">
        <v>1.4200000000000001E-2</v>
      </c>
    </row>
    <row r="14" spans="1:78" x14ac:dyDescent="0.3">
      <c r="A14" s="13" t="s">
        <v>166</v>
      </c>
      <c r="B14" s="1">
        <v>4.7199999999999999E-2</v>
      </c>
      <c r="C14" s="1">
        <v>4.48E-2</v>
      </c>
      <c r="D14" s="1">
        <v>3.9399999999999998E-2</v>
      </c>
      <c r="E14" s="1">
        <v>0</v>
      </c>
      <c r="F14" s="1">
        <v>0.04</v>
      </c>
      <c r="G14" s="1">
        <v>4.3999999999999997E-2</v>
      </c>
      <c r="H14" s="1">
        <v>4.5499999999999999E-2</v>
      </c>
      <c r="I14" s="1">
        <v>3.5099999999999999E-2</v>
      </c>
      <c r="J14" s="1">
        <v>3.9800000000000002E-2</v>
      </c>
      <c r="K14" s="1">
        <v>5.21E-2</v>
      </c>
      <c r="L14" s="1">
        <v>4.5900000000000003E-2</v>
      </c>
      <c r="M14" s="1">
        <v>3.4099999999999998E-2</v>
      </c>
      <c r="N14" s="1">
        <v>3.32E-2</v>
      </c>
      <c r="O14" s="1">
        <v>4.4999999999999998E-2</v>
      </c>
      <c r="P14" s="1">
        <v>4.4400000000000002E-2</v>
      </c>
      <c r="Q14" s="1">
        <v>4.5900000000000003E-2</v>
      </c>
      <c r="R14" s="1">
        <v>4.3900000000000002E-2</v>
      </c>
      <c r="S14" s="1">
        <v>4.9099999999999998E-2</v>
      </c>
      <c r="T14" s="1">
        <v>3.85E-2</v>
      </c>
      <c r="U14" s="1">
        <v>4.7699999999999999E-2</v>
      </c>
      <c r="V14" s="1">
        <v>0.04</v>
      </c>
      <c r="W14" s="1">
        <v>4.3499999999999997E-2</v>
      </c>
      <c r="X14" s="1">
        <v>4.58E-2</v>
      </c>
      <c r="Y14" s="1">
        <v>4.4900000000000002E-2</v>
      </c>
      <c r="Z14" s="1">
        <v>0</v>
      </c>
      <c r="AA14" s="1">
        <v>4.7800000000000002E-2</v>
      </c>
      <c r="AB14" s="1">
        <v>4.1099999999999998E-2</v>
      </c>
      <c r="AC14" s="1">
        <v>3.8300000000000001E-2</v>
      </c>
      <c r="AD14" s="1">
        <v>0</v>
      </c>
      <c r="AE14" s="1">
        <v>4.7899999999999998E-2</v>
      </c>
      <c r="AF14" s="1">
        <v>4.3799999999999999E-2</v>
      </c>
      <c r="AG14" s="1">
        <v>3.9E-2</v>
      </c>
      <c r="AH14" s="1">
        <v>4.3999999999999997E-2</v>
      </c>
      <c r="AI14" s="1">
        <v>0</v>
      </c>
      <c r="AJ14" s="1">
        <v>3.3300000000000003E-2</v>
      </c>
      <c r="AK14" s="1">
        <v>3.5700000000000003E-2</v>
      </c>
      <c r="AL14" s="1">
        <v>3.3300000000000003E-2</v>
      </c>
      <c r="AM14" s="1">
        <v>3.5999999999999997E-2</v>
      </c>
      <c r="AN14" s="1">
        <v>3.5099999999999999E-2</v>
      </c>
      <c r="AO14" s="1">
        <v>3.2399999999999998E-2</v>
      </c>
      <c r="AP14" s="1">
        <v>4.4900000000000002E-2</v>
      </c>
      <c r="AQ14" s="1">
        <v>4.3099999999999999E-2</v>
      </c>
      <c r="AR14" s="1">
        <v>4.5400000000000003E-2</v>
      </c>
      <c r="AS14" s="1">
        <v>4.4999999999999998E-2</v>
      </c>
      <c r="AT14" s="1">
        <v>4.3900000000000002E-2</v>
      </c>
      <c r="AU14" s="1">
        <v>4.5999999999999999E-2</v>
      </c>
      <c r="AV14" s="1">
        <v>4.5499999999999999E-2</v>
      </c>
      <c r="AW14" s="1">
        <v>4.7100000000000003E-2</v>
      </c>
      <c r="AX14" s="1">
        <v>3.5900000000000001E-2</v>
      </c>
      <c r="AY14" s="1">
        <v>3.6299999999999999E-2</v>
      </c>
      <c r="AZ14" s="1">
        <v>4.1200000000000001E-2</v>
      </c>
      <c r="BA14" s="1">
        <v>4.07E-2</v>
      </c>
      <c r="BB14" s="1">
        <v>4.1500000000000002E-2</v>
      </c>
      <c r="BC14" s="1">
        <v>2.8799999999999999E-2</v>
      </c>
      <c r="BD14" s="1">
        <v>3.2099999999999997E-2</v>
      </c>
      <c r="BE14" s="1">
        <v>4.24E-2</v>
      </c>
      <c r="BF14" s="1">
        <v>4.0800000000000003E-2</v>
      </c>
      <c r="BG14" s="1">
        <v>3.78E-2</v>
      </c>
      <c r="BH14" s="1">
        <v>4.5199999999999997E-2</v>
      </c>
      <c r="BI14" s="1">
        <v>3.8899999999999997E-2</v>
      </c>
      <c r="BJ14" s="1">
        <v>4.6300000000000001E-2</v>
      </c>
      <c r="BK14" s="1">
        <v>4.24E-2</v>
      </c>
      <c r="BL14" s="1">
        <v>4.3499999999999997E-2</v>
      </c>
      <c r="BM14" s="1">
        <v>4.4200000000000003E-2</v>
      </c>
      <c r="BN14" s="10">
        <v>4.3099999999999999E-2</v>
      </c>
      <c r="BO14" s="10">
        <v>4.0599999999999997E-2</v>
      </c>
      <c r="BP14" s="10">
        <v>4.1099999999999998E-2</v>
      </c>
      <c r="BQ14" s="10">
        <v>4.4400000000000002E-2</v>
      </c>
      <c r="BR14" s="10">
        <v>3.6200000000000003E-2</v>
      </c>
      <c r="BS14" s="10">
        <v>4.8000000000000001E-2</v>
      </c>
      <c r="BT14" s="10">
        <v>4.4400000000000002E-2</v>
      </c>
      <c r="BU14" s="10">
        <v>4.0300000000000002E-2</v>
      </c>
      <c r="BV14" s="10">
        <v>4.4400000000000002E-2</v>
      </c>
      <c r="BW14" s="10">
        <v>3.0700000000000002E-2</v>
      </c>
      <c r="BX14" s="10">
        <v>3.5900000000000001E-2</v>
      </c>
      <c r="BY14" s="10">
        <v>4.1500000000000002E-2</v>
      </c>
      <c r="BZ14" s="10">
        <v>4.2000000000000003E-2</v>
      </c>
    </row>
    <row r="15" spans="1:78" x14ac:dyDescent="0.3">
      <c r="A15" s="13" t="s">
        <v>167</v>
      </c>
      <c r="B15" s="1">
        <v>1.6400000000000001E-2</v>
      </c>
      <c r="C15" s="1">
        <v>1.5299999999999999E-2</v>
      </c>
      <c r="D15" s="1">
        <v>1.5900000000000001E-2</v>
      </c>
      <c r="E15" s="1">
        <v>1.6500000000000001E-2</v>
      </c>
      <c r="F15" s="1">
        <v>1.6899999999999998E-2</v>
      </c>
      <c r="G15" s="1">
        <v>1.6500000000000001E-2</v>
      </c>
      <c r="H15" s="1">
        <v>1.7000000000000001E-2</v>
      </c>
      <c r="I15" s="1">
        <v>1.5800000000000002E-2</v>
      </c>
      <c r="J15" s="1">
        <v>1.7000000000000001E-2</v>
      </c>
      <c r="K15" s="1">
        <v>0</v>
      </c>
      <c r="L15" s="1">
        <v>1.6500000000000001E-2</v>
      </c>
      <c r="M15" s="1">
        <v>1.6199999999999999E-2</v>
      </c>
      <c r="N15" s="1">
        <v>1.55E-2</v>
      </c>
      <c r="O15" s="1">
        <v>1.6400000000000001E-2</v>
      </c>
      <c r="P15" s="1">
        <v>1.6199999999999999E-2</v>
      </c>
      <c r="Q15" s="1">
        <v>1.6299999999999999E-2</v>
      </c>
      <c r="R15" s="1">
        <v>1.5800000000000002E-2</v>
      </c>
      <c r="S15" s="1">
        <v>1.6400000000000001E-2</v>
      </c>
      <c r="T15" s="1">
        <v>1.6500000000000001E-2</v>
      </c>
      <c r="U15" s="1">
        <v>1.67E-2</v>
      </c>
      <c r="V15" s="1">
        <v>1.6500000000000001E-2</v>
      </c>
      <c r="W15" s="1">
        <v>1.6E-2</v>
      </c>
      <c r="X15" s="1">
        <v>1.5800000000000002E-2</v>
      </c>
      <c r="Y15" s="1">
        <v>1.7100000000000001E-2</v>
      </c>
      <c r="Z15" s="1">
        <v>1.7000000000000001E-2</v>
      </c>
      <c r="AA15" s="1">
        <v>1.6400000000000001E-2</v>
      </c>
      <c r="AB15" s="1">
        <v>1.5900000000000001E-2</v>
      </c>
      <c r="AC15" s="1">
        <v>1.72E-2</v>
      </c>
      <c r="AD15" s="1">
        <v>1.6299999999999999E-2</v>
      </c>
      <c r="AE15" s="1">
        <v>1.6799999999999999E-2</v>
      </c>
      <c r="AF15" s="1">
        <v>1.5900000000000001E-2</v>
      </c>
      <c r="AG15" s="1">
        <v>1.5800000000000002E-2</v>
      </c>
      <c r="AH15" s="1">
        <v>1.7399999999999999E-2</v>
      </c>
      <c r="AI15" s="1">
        <v>1.77E-2</v>
      </c>
      <c r="AJ15" s="1">
        <v>1.7399999999999999E-2</v>
      </c>
      <c r="AK15" s="1">
        <v>1.7999999999999999E-2</v>
      </c>
      <c r="AL15" s="1">
        <v>1.78E-2</v>
      </c>
      <c r="AM15" s="1">
        <v>1.8499999999999999E-2</v>
      </c>
      <c r="AN15" s="1">
        <v>1.78E-2</v>
      </c>
      <c r="AO15" s="1">
        <v>1.7299999999999999E-2</v>
      </c>
      <c r="AP15" s="1">
        <v>1.72E-2</v>
      </c>
      <c r="AQ15" s="1">
        <v>1.66E-2</v>
      </c>
      <c r="AR15" s="1">
        <v>1.5599999999999999E-2</v>
      </c>
      <c r="AS15" s="1">
        <v>1.6299999999999999E-2</v>
      </c>
      <c r="AT15" s="1">
        <v>1.66E-2</v>
      </c>
      <c r="AU15" s="1">
        <v>1.67E-2</v>
      </c>
      <c r="AV15" s="1">
        <v>1.6799999999999999E-2</v>
      </c>
      <c r="AW15" s="1">
        <v>1.7000000000000001E-2</v>
      </c>
      <c r="AX15" s="1">
        <v>1.7500000000000002E-2</v>
      </c>
      <c r="AY15" s="1">
        <v>1.77E-2</v>
      </c>
      <c r="AZ15" s="1">
        <v>1.8700000000000001E-2</v>
      </c>
      <c r="BA15" s="1">
        <v>1.9599999999999999E-2</v>
      </c>
      <c r="BB15" s="1">
        <v>1.8700000000000001E-2</v>
      </c>
      <c r="BC15" s="1">
        <v>1.7000000000000001E-2</v>
      </c>
      <c r="BD15" s="1">
        <v>1.7399999999999999E-2</v>
      </c>
      <c r="BE15" s="1">
        <v>1.6400000000000001E-2</v>
      </c>
      <c r="BF15" s="1">
        <v>1.6500000000000001E-2</v>
      </c>
      <c r="BG15" s="1">
        <v>1.7899999999999999E-2</v>
      </c>
      <c r="BH15" s="1">
        <v>1.7600000000000001E-2</v>
      </c>
      <c r="BI15" s="1">
        <v>1.6299999999999999E-2</v>
      </c>
      <c r="BJ15" s="1">
        <v>1.6299999999999999E-2</v>
      </c>
      <c r="BK15" s="1">
        <v>1.9E-2</v>
      </c>
      <c r="BL15" s="1">
        <v>1.8800000000000001E-2</v>
      </c>
      <c r="BM15" s="1">
        <v>1.67E-2</v>
      </c>
      <c r="BN15" s="10">
        <v>1.67E-2</v>
      </c>
      <c r="BO15" s="10">
        <v>1.6400000000000001E-2</v>
      </c>
      <c r="BP15" s="10">
        <v>1.7000000000000001E-2</v>
      </c>
      <c r="BQ15" s="10">
        <v>1.8800000000000001E-2</v>
      </c>
      <c r="BR15" s="10">
        <v>1.8800000000000001E-2</v>
      </c>
      <c r="BS15" s="10">
        <v>1.5800000000000002E-2</v>
      </c>
      <c r="BT15" s="10">
        <v>1.61E-2</v>
      </c>
      <c r="BU15" s="10">
        <v>2.0199999999999999E-2</v>
      </c>
      <c r="BV15" s="10">
        <v>1.9699999999999999E-2</v>
      </c>
      <c r="BW15" s="10">
        <v>1.78E-2</v>
      </c>
      <c r="BX15" s="10">
        <v>1.7100000000000001E-2</v>
      </c>
      <c r="BY15" s="10">
        <v>1.89E-2</v>
      </c>
      <c r="BZ15" s="10">
        <v>1.7299999999999999E-2</v>
      </c>
    </row>
    <row r="16" spans="1:78" x14ac:dyDescent="0.3">
      <c r="A16" s="13" t="s">
        <v>189</v>
      </c>
      <c r="B16" s="1">
        <v>9.1999999999999998E-3</v>
      </c>
      <c r="C16" s="1">
        <v>9.2999999999999992E-3</v>
      </c>
      <c r="D16" s="1">
        <v>1.0500000000000001E-2</v>
      </c>
      <c r="E16" s="1">
        <v>0</v>
      </c>
      <c r="F16" s="1">
        <v>1.03E-2</v>
      </c>
      <c r="G16" s="1">
        <v>1.06E-2</v>
      </c>
      <c r="H16" s="1">
        <v>1.11E-2</v>
      </c>
      <c r="I16" s="1">
        <v>8.5000000000000006E-3</v>
      </c>
      <c r="J16" s="1">
        <v>1.11E-2</v>
      </c>
      <c r="K16" s="1">
        <v>9.4999999999999998E-3</v>
      </c>
      <c r="L16" s="1">
        <v>1.0200000000000001E-2</v>
      </c>
      <c r="M16" s="1">
        <v>1.0699999999999999E-2</v>
      </c>
      <c r="N16" s="1">
        <v>9.7999999999999997E-3</v>
      </c>
      <c r="O16" s="1">
        <v>1.03E-2</v>
      </c>
      <c r="P16" s="1">
        <v>1.06E-2</v>
      </c>
      <c r="Q16" s="1">
        <v>1.0800000000000001E-2</v>
      </c>
      <c r="R16" s="1">
        <v>1.0200000000000001E-2</v>
      </c>
      <c r="S16" s="1">
        <v>1.03E-2</v>
      </c>
      <c r="T16" s="1">
        <v>1.0800000000000001E-2</v>
      </c>
      <c r="U16" s="1">
        <v>1.0800000000000001E-2</v>
      </c>
      <c r="V16" s="1">
        <v>1.09E-2</v>
      </c>
      <c r="W16" s="1">
        <v>1.0500000000000001E-2</v>
      </c>
      <c r="X16" s="1">
        <v>1.06E-2</v>
      </c>
      <c r="Y16" s="1">
        <v>1.1299999999999999E-2</v>
      </c>
      <c r="Z16" s="1">
        <v>1.14E-2</v>
      </c>
      <c r="AA16" s="1">
        <v>1.15E-2</v>
      </c>
      <c r="AB16" s="1">
        <v>1.06E-2</v>
      </c>
      <c r="AC16" s="1">
        <v>1.0800000000000001E-2</v>
      </c>
      <c r="AD16" s="1">
        <v>1.1299999999999999E-2</v>
      </c>
      <c r="AE16" s="1">
        <v>1.1900000000000001E-2</v>
      </c>
      <c r="AF16" s="1">
        <v>1.0500000000000001E-2</v>
      </c>
      <c r="AG16" s="1">
        <v>1.09E-2</v>
      </c>
      <c r="AH16" s="1">
        <v>1.2E-2</v>
      </c>
      <c r="AI16" s="1">
        <v>1.1299999999999999E-2</v>
      </c>
      <c r="AJ16" s="1">
        <v>9.4000000000000004E-3</v>
      </c>
      <c r="AK16" s="1">
        <v>9.5999999999999992E-3</v>
      </c>
      <c r="AL16" s="1">
        <v>0</v>
      </c>
      <c r="AM16" s="1">
        <v>9.4000000000000004E-3</v>
      </c>
      <c r="AN16" s="1">
        <v>9.9000000000000008E-3</v>
      </c>
      <c r="AO16" s="1">
        <v>9.5999999999999992E-3</v>
      </c>
      <c r="AP16" s="1">
        <v>1.09E-2</v>
      </c>
      <c r="AQ16" s="1">
        <v>1.0999999999999999E-2</v>
      </c>
      <c r="AR16" s="1">
        <v>1.1599999999999999E-2</v>
      </c>
      <c r="AS16" s="1">
        <v>1.0200000000000001E-2</v>
      </c>
      <c r="AT16" s="1">
        <v>1.14E-2</v>
      </c>
      <c r="AU16" s="1">
        <v>1.1599999999999999E-2</v>
      </c>
      <c r="AV16" s="1">
        <v>1.11E-2</v>
      </c>
      <c r="AW16" s="1">
        <v>1.1299999999999999E-2</v>
      </c>
      <c r="AX16" s="1">
        <v>9.4999999999999998E-3</v>
      </c>
      <c r="AY16" s="1">
        <v>9.5999999999999992E-3</v>
      </c>
      <c r="AZ16" s="1">
        <v>0</v>
      </c>
      <c r="BA16" s="1">
        <v>0</v>
      </c>
      <c r="BB16" s="1">
        <v>1.15E-2</v>
      </c>
      <c r="BC16" s="1">
        <v>1.3299999999999999E-2</v>
      </c>
      <c r="BD16" s="1">
        <v>1.32E-2</v>
      </c>
      <c r="BE16" s="1">
        <v>1.06E-2</v>
      </c>
      <c r="BF16" s="1">
        <v>1.06E-2</v>
      </c>
      <c r="BG16" s="1">
        <v>9.7000000000000003E-3</v>
      </c>
      <c r="BH16" s="1">
        <v>1.17E-2</v>
      </c>
      <c r="BI16" s="1">
        <v>1.0999999999999999E-2</v>
      </c>
      <c r="BJ16" s="1">
        <v>1.11E-2</v>
      </c>
      <c r="BK16" s="1">
        <v>0</v>
      </c>
      <c r="BL16" s="1">
        <v>0</v>
      </c>
      <c r="BM16" s="1">
        <v>1.12E-2</v>
      </c>
      <c r="BN16" s="10">
        <v>1.11E-2</v>
      </c>
      <c r="BO16" s="10">
        <v>0.01</v>
      </c>
      <c r="BP16" s="10">
        <v>1.01E-2</v>
      </c>
      <c r="BQ16" s="10">
        <v>0</v>
      </c>
      <c r="BR16" s="10">
        <v>1.14E-2</v>
      </c>
      <c r="BS16" s="10">
        <v>1.11E-2</v>
      </c>
      <c r="BT16" s="10">
        <v>1.1599999999999999E-2</v>
      </c>
      <c r="BU16" s="10">
        <v>1.1599999999999999E-2</v>
      </c>
      <c r="BV16" s="10">
        <v>0</v>
      </c>
      <c r="BW16" s="10">
        <v>0</v>
      </c>
      <c r="BX16" s="10">
        <v>9.7000000000000003E-3</v>
      </c>
      <c r="BY16" s="10">
        <v>0</v>
      </c>
      <c r="BZ16" s="10">
        <v>0.01</v>
      </c>
    </row>
    <row r="17" spans="1:78" x14ac:dyDescent="0.3">
      <c r="A17" s="13" t="s">
        <v>190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3.7199999999999997E-2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4.6300000000000001E-2</v>
      </c>
      <c r="Z17" s="1">
        <v>0</v>
      </c>
      <c r="AA17" s="1">
        <v>4.7500000000000001E-2</v>
      </c>
      <c r="AB17" s="1">
        <v>0</v>
      </c>
      <c r="AC17" s="1">
        <v>0</v>
      </c>
      <c r="AD17" s="1">
        <v>5.3699999999999998E-2</v>
      </c>
      <c r="AE17" s="1">
        <v>4.6600000000000003E-2</v>
      </c>
      <c r="AF17" s="1">
        <v>0</v>
      </c>
      <c r="AG17" s="1">
        <v>0</v>
      </c>
      <c r="AH17" s="1">
        <v>4.9099999999999998E-2</v>
      </c>
      <c r="AI17" s="1">
        <v>5.1700000000000003E-2</v>
      </c>
      <c r="AJ17" s="1">
        <v>3.8199999999999998E-2</v>
      </c>
      <c r="AK17" s="1">
        <v>3.9199999999999999E-2</v>
      </c>
      <c r="AL17" s="1">
        <v>3.9699999999999999E-2</v>
      </c>
      <c r="AM17" s="1">
        <v>3.7600000000000001E-2</v>
      </c>
      <c r="AN17" s="1">
        <v>3.8699999999999998E-2</v>
      </c>
      <c r="AO17" s="1">
        <v>3.6799999999999999E-2</v>
      </c>
      <c r="AP17" s="1">
        <v>4.7E-2</v>
      </c>
      <c r="AQ17" s="1">
        <v>0</v>
      </c>
      <c r="AR17" s="1">
        <v>4.4999999999999998E-2</v>
      </c>
      <c r="AS17" s="1">
        <v>0</v>
      </c>
      <c r="AT17" s="1">
        <v>4.53E-2</v>
      </c>
      <c r="AU17" s="1">
        <v>4.6600000000000003E-2</v>
      </c>
      <c r="AV17" s="1">
        <v>4.58E-2</v>
      </c>
      <c r="AW17" s="1">
        <v>4.7199999999999999E-2</v>
      </c>
      <c r="AX17" s="1">
        <v>3.9199999999999999E-2</v>
      </c>
      <c r="AY17" s="1">
        <v>3.8399999999999997E-2</v>
      </c>
      <c r="AZ17" s="1">
        <v>4.9200000000000001E-2</v>
      </c>
      <c r="BA17" s="1">
        <v>4.8500000000000001E-2</v>
      </c>
      <c r="BB17" s="1">
        <v>4.8800000000000003E-2</v>
      </c>
      <c r="BC17" s="1">
        <v>4.5400000000000003E-2</v>
      </c>
      <c r="BD17" s="1">
        <v>4.4999999999999998E-2</v>
      </c>
      <c r="BE17" s="1">
        <v>0</v>
      </c>
      <c r="BF17" s="1">
        <v>0</v>
      </c>
      <c r="BG17" s="1">
        <v>3.9300000000000002E-2</v>
      </c>
      <c r="BH17" s="1">
        <v>4.4200000000000003E-2</v>
      </c>
      <c r="BI17" s="1">
        <v>0</v>
      </c>
      <c r="BJ17" s="1">
        <v>4.53E-2</v>
      </c>
      <c r="BK17" s="1">
        <v>5.0900000000000001E-2</v>
      </c>
      <c r="BL17" s="1">
        <v>4.9700000000000001E-2</v>
      </c>
      <c r="BM17" s="1">
        <v>4.7300000000000002E-2</v>
      </c>
      <c r="BN17" s="10">
        <v>4.5699999999999998E-2</v>
      </c>
      <c r="BO17" s="10">
        <v>4.5900000000000003E-2</v>
      </c>
      <c r="BP17" s="10">
        <v>4.4600000000000001E-2</v>
      </c>
      <c r="BQ17" s="10">
        <v>4.9500000000000002E-2</v>
      </c>
      <c r="BR17" s="10">
        <v>4.8800000000000003E-2</v>
      </c>
      <c r="BS17" s="10">
        <v>4.4499999999999998E-2</v>
      </c>
      <c r="BT17" s="10">
        <v>4.6300000000000001E-2</v>
      </c>
      <c r="BU17" s="10">
        <v>5.0500000000000003E-2</v>
      </c>
      <c r="BV17" s="10">
        <v>4.9700000000000001E-2</v>
      </c>
      <c r="BW17" s="10">
        <v>3.61E-2</v>
      </c>
      <c r="BX17" s="10">
        <v>3.7499999999999999E-2</v>
      </c>
      <c r="BY17" s="10">
        <v>4.8899999999999999E-2</v>
      </c>
      <c r="BZ17" s="10">
        <v>4.2999999999999997E-2</v>
      </c>
    </row>
    <row r="18" spans="1:78" x14ac:dyDescent="0.3">
      <c r="A18" s="13" t="s">
        <v>169</v>
      </c>
      <c r="B18" s="1">
        <v>5.4399999999999997E-2</v>
      </c>
      <c r="C18" s="1">
        <v>5.4300000000000001E-2</v>
      </c>
      <c r="D18" s="1">
        <v>5.3600000000000002E-2</v>
      </c>
      <c r="E18" s="1">
        <v>5.8799999999999998E-2</v>
      </c>
      <c r="F18" s="1">
        <v>5.62E-2</v>
      </c>
      <c r="G18" s="1">
        <v>5.3600000000000002E-2</v>
      </c>
      <c r="H18" s="1">
        <v>5.3699999999999998E-2</v>
      </c>
      <c r="I18" s="1">
        <v>0</v>
      </c>
      <c r="J18" s="1">
        <v>5.4600000000000003E-2</v>
      </c>
      <c r="K18" s="1">
        <v>4.3799999999999999E-2</v>
      </c>
      <c r="L18" s="1">
        <v>5.1999999999999998E-2</v>
      </c>
      <c r="M18" s="1">
        <v>5.5500000000000001E-2</v>
      </c>
      <c r="N18" s="1">
        <v>4.9299999999999997E-2</v>
      </c>
      <c r="O18" s="1">
        <v>5.3100000000000001E-2</v>
      </c>
      <c r="P18" s="1">
        <v>5.0799999999999998E-2</v>
      </c>
      <c r="Q18" s="1">
        <v>5.1999999999999998E-2</v>
      </c>
      <c r="R18" s="1">
        <v>5.3499999999999999E-2</v>
      </c>
      <c r="S18" s="1">
        <v>5.2499999999999998E-2</v>
      </c>
      <c r="T18" s="1">
        <v>5.5199999999999999E-2</v>
      </c>
      <c r="U18" s="1">
        <v>5.2299999999999999E-2</v>
      </c>
      <c r="V18" s="1">
        <v>5.3400000000000003E-2</v>
      </c>
      <c r="W18" s="1">
        <v>5.2299999999999999E-2</v>
      </c>
      <c r="X18" s="1">
        <v>5.1999999999999998E-2</v>
      </c>
      <c r="Y18" s="1">
        <v>4.9200000000000001E-2</v>
      </c>
      <c r="Z18" s="1">
        <v>5.7700000000000001E-2</v>
      </c>
      <c r="AA18" s="1">
        <v>4.8899999999999999E-2</v>
      </c>
      <c r="AB18" s="1">
        <v>5.4899999999999997E-2</v>
      </c>
      <c r="AC18" s="1">
        <v>5.5300000000000002E-2</v>
      </c>
      <c r="AD18" s="1">
        <v>5.91E-2</v>
      </c>
      <c r="AE18" s="1">
        <v>4.8599999999999997E-2</v>
      </c>
      <c r="AF18" s="1">
        <v>5.2299999999999999E-2</v>
      </c>
      <c r="AG18" s="1">
        <v>5.2499999999999998E-2</v>
      </c>
      <c r="AH18" s="1">
        <v>4.7699999999999999E-2</v>
      </c>
      <c r="AI18" s="1">
        <v>5.7599999999999998E-2</v>
      </c>
      <c r="AJ18" s="1">
        <v>4.6100000000000002E-2</v>
      </c>
      <c r="AK18" s="1">
        <v>4.48E-2</v>
      </c>
      <c r="AL18" s="1">
        <v>4.7100000000000003E-2</v>
      </c>
      <c r="AM18" s="1">
        <v>4.7500000000000001E-2</v>
      </c>
      <c r="AN18" s="1">
        <v>4.5699999999999998E-2</v>
      </c>
      <c r="AO18" s="1">
        <v>4.4999999999999998E-2</v>
      </c>
      <c r="AP18" s="1">
        <v>4.9700000000000001E-2</v>
      </c>
      <c r="AQ18" s="1">
        <v>5.21E-2</v>
      </c>
      <c r="AR18" s="1">
        <v>4.7500000000000001E-2</v>
      </c>
      <c r="AS18" s="1">
        <v>5.4100000000000002E-2</v>
      </c>
      <c r="AT18" s="1">
        <v>4.8599999999999997E-2</v>
      </c>
      <c r="AU18" s="1">
        <v>4.7300000000000002E-2</v>
      </c>
      <c r="AV18" s="1">
        <v>4.6100000000000002E-2</v>
      </c>
      <c r="AW18" s="1">
        <v>4.7E-2</v>
      </c>
      <c r="AX18" s="1">
        <v>4.7699999999999999E-2</v>
      </c>
      <c r="AY18" s="1">
        <v>4.6899999999999997E-2</v>
      </c>
      <c r="AZ18" s="1">
        <v>5.33E-2</v>
      </c>
      <c r="BA18" s="1">
        <v>5.28E-2</v>
      </c>
      <c r="BB18" s="1">
        <v>5.0900000000000001E-2</v>
      </c>
      <c r="BC18" s="1">
        <v>4.5600000000000002E-2</v>
      </c>
      <c r="BD18" s="1">
        <v>4.7600000000000003E-2</v>
      </c>
      <c r="BE18" s="1">
        <v>5.3199999999999997E-2</v>
      </c>
      <c r="BF18" s="1">
        <v>5.1999999999999998E-2</v>
      </c>
      <c r="BG18" s="1">
        <v>4.7E-2</v>
      </c>
      <c r="BH18" s="1">
        <v>5.0700000000000002E-2</v>
      </c>
      <c r="BI18" s="1">
        <v>5.3999999999999999E-2</v>
      </c>
      <c r="BJ18" s="1">
        <v>4.8399999999999999E-2</v>
      </c>
      <c r="BK18" s="1">
        <v>5.3100000000000001E-2</v>
      </c>
      <c r="BL18" s="1">
        <v>5.2299999999999999E-2</v>
      </c>
      <c r="BM18" s="1">
        <v>4.7699999999999999E-2</v>
      </c>
      <c r="BN18" s="10">
        <v>4.9799999999999997E-2</v>
      </c>
      <c r="BO18" s="10">
        <v>0.05</v>
      </c>
      <c r="BP18" s="10">
        <v>4.7199999999999999E-2</v>
      </c>
      <c r="BQ18" s="10">
        <v>0</v>
      </c>
      <c r="BR18" s="10">
        <v>5.2900000000000003E-2</v>
      </c>
      <c r="BS18" s="10">
        <v>4.8000000000000001E-2</v>
      </c>
      <c r="BT18" s="10">
        <v>4.9799999999999997E-2</v>
      </c>
      <c r="BU18" s="10">
        <v>0</v>
      </c>
      <c r="BV18" s="10">
        <v>5.3800000000000001E-2</v>
      </c>
      <c r="BW18" s="10">
        <v>4.5900000000000003E-2</v>
      </c>
      <c r="BX18" s="10">
        <v>4.6600000000000003E-2</v>
      </c>
      <c r="BY18" s="10">
        <v>0</v>
      </c>
      <c r="BZ18" s="10">
        <v>4.7300000000000002E-2</v>
      </c>
    </row>
    <row r="19" spans="1:78" x14ac:dyDescent="0.3">
      <c r="A19" s="13" t="s">
        <v>170</v>
      </c>
      <c r="B19" s="1">
        <v>5.9200000000000003E-2</v>
      </c>
      <c r="C19" s="1">
        <v>0</v>
      </c>
      <c r="D19" s="1">
        <v>0</v>
      </c>
      <c r="E19" s="1">
        <v>6.6000000000000003E-2</v>
      </c>
      <c r="F19" s="1">
        <v>6.4299999999999996E-2</v>
      </c>
      <c r="G19" s="1" t="s">
        <v>160</v>
      </c>
      <c r="H19" s="1">
        <v>0</v>
      </c>
      <c r="I19" s="1">
        <v>4.4900000000000002E-2</v>
      </c>
      <c r="J19" s="1">
        <v>0</v>
      </c>
      <c r="K19" s="1">
        <v>4.6399999999999997E-2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5.96E-2</v>
      </c>
      <c r="U19" s="1">
        <v>5.33E-2</v>
      </c>
      <c r="V19" s="1">
        <v>5.8799999999999998E-2</v>
      </c>
      <c r="W19" s="1">
        <v>0</v>
      </c>
      <c r="X19" s="1">
        <v>0</v>
      </c>
      <c r="Y19" s="1">
        <v>5.7099999999999998E-2</v>
      </c>
      <c r="Z19" s="1">
        <v>0</v>
      </c>
      <c r="AA19" s="1">
        <v>5.6000000000000001E-2</v>
      </c>
      <c r="AB19" s="1">
        <v>6.0400000000000002E-2</v>
      </c>
      <c r="AC19" s="1">
        <v>0</v>
      </c>
      <c r="AD19" s="1">
        <v>0</v>
      </c>
      <c r="AE19" s="1">
        <v>5.6500000000000002E-2</v>
      </c>
      <c r="AF19" s="1">
        <v>0</v>
      </c>
      <c r="AG19" s="1">
        <v>0</v>
      </c>
      <c r="AH19" s="1">
        <v>5.8700000000000002E-2</v>
      </c>
      <c r="AI19" s="1">
        <v>6.6299999999999998E-2</v>
      </c>
      <c r="AJ19" s="1">
        <v>0</v>
      </c>
      <c r="AK19" s="1">
        <v>0</v>
      </c>
      <c r="AL19" s="1">
        <v>0</v>
      </c>
      <c r="AM19" s="1">
        <v>5.3400000000000003E-2</v>
      </c>
      <c r="AN19" s="1">
        <v>0</v>
      </c>
      <c r="AO19" s="1">
        <v>0</v>
      </c>
      <c r="AP19" s="1">
        <v>0.05</v>
      </c>
      <c r="AQ19" s="1">
        <v>0</v>
      </c>
      <c r="AR19" s="1">
        <v>5.4699999999999999E-2</v>
      </c>
      <c r="AS19" s="1">
        <v>0</v>
      </c>
      <c r="AT19" s="1">
        <v>5.3400000000000003E-2</v>
      </c>
      <c r="AU19" s="1">
        <v>6.3299999999999995E-2</v>
      </c>
      <c r="AV19" s="1">
        <v>6.5199999999999994E-2</v>
      </c>
      <c r="AW19" s="1">
        <v>5.62E-2</v>
      </c>
      <c r="AX19" s="1">
        <v>5.6899999999999999E-2</v>
      </c>
      <c r="AY19" s="1">
        <v>0</v>
      </c>
      <c r="AZ19" s="1">
        <v>5.91E-2</v>
      </c>
      <c r="BA19" s="1">
        <v>0</v>
      </c>
      <c r="BB19" s="1">
        <v>5.91E-2</v>
      </c>
      <c r="BC19" s="1">
        <v>5.1200000000000002E-2</v>
      </c>
      <c r="BD19" s="1">
        <v>0</v>
      </c>
      <c r="BE19" s="1">
        <v>5.7000000000000002E-2</v>
      </c>
      <c r="BF19" s="1">
        <v>0</v>
      </c>
      <c r="BG19" s="1">
        <v>0</v>
      </c>
      <c r="BH19" s="1">
        <v>5.2200000000000003E-2</v>
      </c>
      <c r="BI19" s="1">
        <v>0</v>
      </c>
      <c r="BJ19" s="1">
        <v>5.7700000000000001E-2</v>
      </c>
      <c r="BK19" s="1">
        <v>0</v>
      </c>
      <c r="BL19" s="1">
        <v>0</v>
      </c>
      <c r="BM19" s="1">
        <v>5.3100000000000001E-2</v>
      </c>
      <c r="BN19" s="10">
        <v>5.8000000000000003E-2</v>
      </c>
      <c r="BO19" s="10">
        <v>5.5599999999999997E-2</v>
      </c>
      <c r="BP19" s="10">
        <v>5.1799999999999999E-2</v>
      </c>
      <c r="BQ19" s="10">
        <v>0</v>
      </c>
      <c r="BR19" s="10">
        <v>6.13E-2</v>
      </c>
      <c r="BS19" s="10">
        <v>5.2999999999999999E-2</v>
      </c>
      <c r="BT19" s="10">
        <v>5.7099999999999998E-2</v>
      </c>
      <c r="BU19" s="10">
        <v>6.2399999999999997E-2</v>
      </c>
      <c r="BV19" s="10">
        <v>0</v>
      </c>
      <c r="BW19" s="10">
        <v>5.3999999999999999E-2</v>
      </c>
      <c r="BX19" s="10">
        <v>0</v>
      </c>
      <c r="BY19" s="10">
        <v>0</v>
      </c>
      <c r="BZ19" s="10">
        <v>5.2900000000000003E-2</v>
      </c>
    </row>
    <row r="20" spans="1:78" x14ac:dyDescent="0.3">
      <c r="A20" s="13" t="s">
        <v>171</v>
      </c>
      <c r="B20" s="1">
        <v>0.38119999999999998</v>
      </c>
      <c r="C20" s="1">
        <v>0.39129999999999998</v>
      </c>
      <c r="D20" s="1">
        <v>0.45119999999999999</v>
      </c>
      <c r="E20" s="1">
        <v>0.432</v>
      </c>
      <c r="F20" s="1">
        <v>0.43120000000000003</v>
      </c>
      <c r="G20" s="1">
        <v>0.38819999999999999</v>
      </c>
      <c r="H20" s="1">
        <v>0.42530000000000001</v>
      </c>
      <c r="I20" s="1">
        <v>0</v>
      </c>
      <c r="J20" s="1">
        <v>0.41149999999999998</v>
      </c>
      <c r="K20" s="1">
        <v>0.39</v>
      </c>
      <c r="L20" s="1">
        <v>0.41880000000000001</v>
      </c>
      <c r="M20" s="1">
        <v>0.41120000000000001</v>
      </c>
      <c r="N20" s="1">
        <v>0.40589999999999998</v>
      </c>
      <c r="O20" s="1">
        <v>0.37080000000000002</v>
      </c>
      <c r="P20" s="1">
        <v>0.39539999999999997</v>
      </c>
      <c r="Q20" s="1">
        <v>0.42880000000000001</v>
      </c>
      <c r="R20" s="1">
        <v>0.40939999999999999</v>
      </c>
      <c r="S20" s="1">
        <v>0.42899999999999999</v>
      </c>
      <c r="T20" s="1">
        <v>0.37230000000000002</v>
      </c>
      <c r="U20" s="1">
        <v>0.42470000000000002</v>
      </c>
      <c r="V20" s="1">
        <v>0.40450000000000003</v>
      </c>
      <c r="W20" s="1">
        <v>0.41070000000000001</v>
      </c>
      <c r="X20" s="1">
        <v>0.42820000000000003</v>
      </c>
      <c r="Y20" s="1">
        <v>0.37619999999999998</v>
      </c>
      <c r="Z20" s="1">
        <v>0.42349999999999999</v>
      </c>
      <c r="AA20" s="1">
        <v>0</v>
      </c>
      <c r="AB20" s="1">
        <v>0.40110000000000001</v>
      </c>
      <c r="AC20" s="1">
        <v>0.41120000000000001</v>
      </c>
      <c r="AD20" s="1">
        <v>0.4219</v>
      </c>
      <c r="AE20" s="1">
        <v>0.37119999999999997</v>
      </c>
      <c r="AF20" s="1">
        <v>0.4153</v>
      </c>
      <c r="AG20" s="1">
        <v>0.38229999999999997</v>
      </c>
      <c r="AH20" s="1">
        <v>0.38690000000000002</v>
      </c>
      <c r="AI20" s="1">
        <v>0.44650000000000001</v>
      </c>
      <c r="AJ20" s="1">
        <v>0.40889999999999999</v>
      </c>
      <c r="AK20" s="1">
        <v>0.36899999999999999</v>
      </c>
      <c r="AL20" s="1">
        <v>0.39750000000000002</v>
      </c>
      <c r="AM20" s="1" t="s">
        <v>160</v>
      </c>
      <c r="AN20" s="1">
        <v>0.40079999999999999</v>
      </c>
      <c r="AO20" s="1">
        <v>0.41810000000000003</v>
      </c>
      <c r="AP20" s="1">
        <v>0.44019999999999998</v>
      </c>
      <c r="AQ20" s="1">
        <v>0.41920000000000002</v>
      </c>
      <c r="AR20" s="1">
        <v>0.40350000000000003</v>
      </c>
      <c r="AS20" s="1">
        <v>0.40239999999999998</v>
      </c>
      <c r="AT20" s="1">
        <v>0.4093</v>
      </c>
      <c r="AU20" s="1">
        <v>0.41949999999999998</v>
      </c>
      <c r="AV20" s="1">
        <v>0.40450000000000003</v>
      </c>
      <c r="AW20" s="1">
        <v>0.40699999999999997</v>
      </c>
      <c r="AX20" s="1">
        <v>0.40660000000000002</v>
      </c>
      <c r="AY20" s="1" t="s">
        <v>160</v>
      </c>
      <c r="AZ20" s="1">
        <v>0.43809999999999999</v>
      </c>
      <c r="BA20" s="1">
        <v>0</v>
      </c>
      <c r="BB20" s="1">
        <v>0.44490000000000002</v>
      </c>
      <c r="BC20" s="1">
        <v>0.44030000000000002</v>
      </c>
      <c r="BD20" s="1">
        <v>0</v>
      </c>
      <c r="BE20" s="1">
        <v>0.41170000000000001</v>
      </c>
      <c r="BF20" s="1">
        <v>0.36220000000000002</v>
      </c>
      <c r="BG20" s="1" t="s">
        <v>160</v>
      </c>
      <c r="BH20" s="1">
        <v>0.40789999999999998</v>
      </c>
      <c r="BI20" s="1">
        <v>0.43059999999999998</v>
      </c>
      <c r="BJ20" s="1">
        <v>0.41849999999999998</v>
      </c>
      <c r="BK20" s="1">
        <v>0</v>
      </c>
      <c r="BL20" s="1">
        <v>0.48770000000000002</v>
      </c>
      <c r="BM20" s="1">
        <v>0.38990000000000002</v>
      </c>
      <c r="BN20" s="10">
        <v>0.37540000000000001</v>
      </c>
      <c r="BO20" s="10">
        <v>0.36780000000000002</v>
      </c>
      <c r="BP20" s="10">
        <v>0.39179999999999998</v>
      </c>
      <c r="BQ20" s="10">
        <v>0.44109999999999999</v>
      </c>
      <c r="BR20" s="10">
        <v>0</v>
      </c>
      <c r="BS20" s="10">
        <v>0.379</v>
      </c>
      <c r="BT20" s="10">
        <v>0.4173</v>
      </c>
      <c r="BU20" s="10">
        <v>0.47689999999999999</v>
      </c>
      <c r="BV20" s="10">
        <v>0</v>
      </c>
      <c r="BW20" s="10">
        <v>0.36730000000000002</v>
      </c>
      <c r="BX20" s="10">
        <v>0.38890000000000002</v>
      </c>
      <c r="BY20" s="10">
        <v>0</v>
      </c>
      <c r="BZ20" s="10">
        <v>0.40560000000000002</v>
      </c>
    </row>
    <row r="21" spans="1:78" x14ac:dyDescent="0.3">
      <c r="A21" s="13" t="s">
        <v>172</v>
      </c>
      <c r="B21" s="1">
        <v>0</v>
      </c>
      <c r="C21" s="1">
        <v>0</v>
      </c>
      <c r="D21" s="1">
        <v>0</v>
      </c>
      <c r="E21" s="1">
        <v>0.22370000000000001</v>
      </c>
      <c r="F21" s="1">
        <v>0.2132</v>
      </c>
      <c r="G21" s="1">
        <v>0</v>
      </c>
      <c r="H21" s="1">
        <v>0.19500000000000001</v>
      </c>
      <c r="I21" s="1">
        <v>0.25330000000000003</v>
      </c>
      <c r="J21" s="1">
        <v>0</v>
      </c>
      <c r="K21" s="1">
        <v>0</v>
      </c>
      <c r="L21" s="1">
        <v>0.2276</v>
      </c>
      <c r="M21" s="1">
        <v>0</v>
      </c>
      <c r="N21" s="1">
        <v>0</v>
      </c>
      <c r="O21" s="1">
        <v>0.2021</v>
      </c>
      <c r="P21" s="1">
        <v>0.20200000000000001</v>
      </c>
      <c r="Q21" s="1">
        <v>0.21560000000000001</v>
      </c>
      <c r="R21" s="1">
        <v>0.18759999999999999</v>
      </c>
      <c r="S21" s="1">
        <v>0</v>
      </c>
      <c r="T21" s="1">
        <v>0</v>
      </c>
      <c r="U21" s="1">
        <v>0.20849999999999999</v>
      </c>
      <c r="V21" s="1">
        <v>0</v>
      </c>
      <c r="W21" s="1">
        <v>0</v>
      </c>
      <c r="X21" s="1">
        <v>0.19500000000000001</v>
      </c>
      <c r="Y21" s="1">
        <v>0.2442</v>
      </c>
      <c r="Z21" s="1">
        <v>0.24890000000000001</v>
      </c>
      <c r="AA21" s="1">
        <v>0.24440000000000001</v>
      </c>
      <c r="AB21" s="1">
        <v>0</v>
      </c>
      <c r="AC21" s="1">
        <v>0.20039999999999999</v>
      </c>
      <c r="AD21" s="1">
        <v>0.2112</v>
      </c>
      <c r="AE21" s="1">
        <v>0.20810000000000001</v>
      </c>
      <c r="AF21" s="1">
        <v>0.2152</v>
      </c>
      <c r="AG21" s="1">
        <v>0</v>
      </c>
      <c r="AH21" s="1">
        <v>0.26450000000000001</v>
      </c>
      <c r="AI21" s="1">
        <v>0.25740000000000002</v>
      </c>
      <c r="AJ21" s="1">
        <v>0.23519999999999999</v>
      </c>
      <c r="AK21" s="1">
        <v>0.24959999999999999</v>
      </c>
      <c r="AL21" s="1">
        <v>0.2495</v>
      </c>
      <c r="AM21" s="1">
        <v>0.2258</v>
      </c>
      <c r="AN21" s="1">
        <v>0.24390000000000001</v>
      </c>
      <c r="AO21" s="1">
        <v>0.2324</v>
      </c>
      <c r="AP21" s="1">
        <v>0.17949999999999999</v>
      </c>
      <c r="AQ21" s="1">
        <v>0</v>
      </c>
      <c r="AR21" s="1">
        <v>0.2082</v>
      </c>
      <c r="AS21" s="1">
        <v>0.1711</v>
      </c>
      <c r="AT21" s="1">
        <v>0.22059999999999999</v>
      </c>
      <c r="AU21" s="1">
        <v>0.2326</v>
      </c>
      <c r="AV21" s="1">
        <v>0.2152</v>
      </c>
      <c r="AW21" s="1">
        <v>0.26929999999999998</v>
      </c>
      <c r="AX21" s="1">
        <v>0.22539999999999999</v>
      </c>
      <c r="AY21" s="1">
        <v>0.23780000000000001</v>
      </c>
      <c r="AZ21" s="1">
        <v>0.29449999999999998</v>
      </c>
      <c r="BA21" s="1">
        <v>0.246</v>
      </c>
      <c r="BB21" s="1">
        <v>0.28620000000000001</v>
      </c>
      <c r="BC21" s="1">
        <v>0.26479999999999998</v>
      </c>
      <c r="BD21" s="1">
        <v>0.24829999999999999</v>
      </c>
      <c r="BE21" s="1">
        <v>0.20880000000000001</v>
      </c>
      <c r="BF21" s="1">
        <v>0</v>
      </c>
      <c r="BG21" s="1">
        <v>0.20619999999999999</v>
      </c>
      <c r="BH21" s="1">
        <v>0.2155</v>
      </c>
      <c r="BI21" s="1">
        <v>0.2359</v>
      </c>
      <c r="BJ21" s="1">
        <v>0.22450000000000001</v>
      </c>
      <c r="BK21" s="1">
        <v>0.28189999999999998</v>
      </c>
      <c r="BL21" s="1">
        <v>0.26879999999999998</v>
      </c>
      <c r="BM21" s="1">
        <v>0.1971</v>
      </c>
      <c r="BN21" s="10">
        <v>0.20430000000000001</v>
      </c>
      <c r="BO21" s="10">
        <v>0.19950000000000001</v>
      </c>
      <c r="BP21" s="10">
        <v>0.25629999999999997</v>
      </c>
      <c r="BQ21" s="10">
        <v>0.2979</v>
      </c>
      <c r="BR21" s="10">
        <v>0.26490000000000002</v>
      </c>
      <c r="BS21" s="10">
        <v>0.23580000000000001</v>
      </c>
      <c r="BT21" s="10">
        <v>0.19689999999999999</v>
      </c>
      <c r="BU21" s="10">
        <v>0.24060000000000001</v>
      </c>
      <c r="BV21" s="10">
        <v>0.2737</v>
      </c>
      <c r="BW21" s="10">
        <v>0.22439999999999999</v>
      </c>
      <c r="BX21" s="10">
        <v>0.23619999999999999</v>
      </c>
      <c r="BY21" s="10">
        <v>0.25600000000000001</v>
      </c>
      <c r="BZ21" s="10">
        <v>0.2467</v>
      </c>
    </row>
    <row r="22" spans="1:78" x14ac:dyDescent="0.3">
      <c r="A22" s="13" t="s">
        <v>173</v>
      </c>
      <c r="B22" s="1">
        <v>0.20849999999999999</v>
      </c>
      <c r="C22" s="1">
        <v>0</v>
      </c>
      <c r="D22" s="1" t="s">
        <v>160</v>
      </c>
      <c r="E22" s="1">
        <v>0.2447</v>
      </c>
      <c r="F22" s="1">
        <v>0.22309999999999999</v>
      </c>
      <c r="G22" s="1">
        <v>0.23119999999999999</v>
      </c>
      <c r="H22" s="1">
        <v>0</v>
      </c>
      <c r="I22" s="1" t="s">
        <v>160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0.2024</v>
      </c>
      <c r="Q22" s="1">
        <v>0.22059999999999999</v>
      </c>
      <c r="R22" s="1">
        <v>0</v>
      </c>
      <c r="S22" s="1">
        <v>0.22059999999999999</v>
      </c>
      <c r="T22" s="1">
        <v>0.23899999999999999</v>
      </c>
      <c r="U22" s="1" t="s">
        <v>160</v>
      </c>
      <c r="V22" s="1">
        <v>0</v>
      </c>
      <c r="W22" s="1">
        <v>0</v>
      </c>
      <c r="X22" s="1">
        <v>0</v>
      </c>
      <c r="Y22" s="1">
        <v>0.25119999999999998</v>
      </c>
      <c r="Z22" s="1">
        <v>0</v>
      </c>
      <c r="AA22" s="1">
        <v>0.24660000000000001</v>
      </c>
      <c r="AB22" s="1" t="s">
        <v>160</v>
      </c>
      <c r="AC22" s="1">
        <v>0</v>
      </c>
      <c r="AD22" s="1">
        <v>0.1862</v>
      </c>
      <c r="AE22" s="1">
        <v>0.20180000000000001</v>
      </c>
      <c r="AF22" s="1">
        <v>0.2145</v>
      </c>
      <c r="AG22" s="1" t="s">
        <v>160</v>
      </c>
      <c r="AH22" s="1">
        <v>0.26040000000000002</v>
      </c>
      <c r="AI22" s="1">
        <v>0.248</v>
      </c>
      <c r="AJ22" s="1">
        <v>0.20880000000000001</v>
      </c>
      <c r="AK22" s="1">
        <v>0.24110000000000001</v>
      </c>
      <c r="AL22" s="1">
        <v>0.2301</v>
      </c>
      <c r="AM22" s="1">
        <v>0.17749999999999999</v>
      </c>
      <c r="AN22" s="1">
        <v>0.23019999999999999</v>
      </c>
      <c r="AO22" s="1">
        <v>0.2611</v>
      </c>
      <c r="AP22" s="1">
        <v>0.26950000000000002</v>
      </c>
      <c r="AQ22" s="1">
        <v>0</v>
      </c>
      <c r="AR22" s="1">
        <v>0.25059999999999999</v>
      </c>
      <c r="AS22" s="1">
        <v>0.2147</v>
      </c>
      <c r="AT22" s="1">
        <v>0.2303</v>
      </c>
      <c r="AU22" s="1">
        <v>0.24079999999999999</v>
      </c>
      <c r="AV22" s="1">
        <v>0.2203</v>
      </c>
      <c r="AW22" s="1">
        <v>0.1958</v>
      </c>
      <c r="AX22" s="1">
        <v>0.24529999999999999</v>
      </c>
      <c r="AY22" s="1">
        <v>0.21229999999999999</v>
      </c>
      <c r="AZ22" s="1">
        <v>0.25240000000000001</v>
      </c>
      <c r="BA22" s="1">
        <v>0.31230000000000002</v>
      </c>
      <c r="BB22" s="1">
        <v>0.28889999999999999</v>
      </c>
      <c r="BC22" s="1">
        <v>0.24660000000000001</v>
      </c>
      <c r="BD22" s="1">
        <v>0.19289999999999999</v>
      </c>
      <c r="BE22" s="1">
        <v>0.2024</v>
      </c>
      <c r="BF22" s="1">
        <v>0</v>
      </c>
      <c r="BG22" s="1">
        <v>0.28320000000000001</v>
      </c>
      <c r="BH22" s="1">
        <v>0.2089</v>
      </c>
      <c r="BI22" s="1">
        <v>0.23269999999999999</v>
      </c>
      <c r="BJ22" s="1">
        <v>0.24970000000000001</v>
      </c>
      <c r="BK22" s="1">
        <v>0.27879999999999999</v>
      </c>
      <c r="BL22" s="1">
        <v>0.29170000000000001</v>
      </c>
      <c r="BM22" s="1">
        <v>0.25390000000000001</v>
      </c>
      <c r="BN22" s="10">
        <v>0.1981</v>
      </c>
      <c r="BO22" s="10">
        <v>0.2432</v>
      </c>
      <c r="BP22" s="10">
        <v>0.23319999999999999</v>
      </c>
      <c r="BQ22" s="10">
        <v>0.2994</v>
      </c>
      <c r="BR22" s="10">
        <v>0.29149999999999998</v>
      </c>
      <c r="BS22" s="10">
        <v>0.21079999999999999</v>
      </c>
      <c r="BT22" s="10">
        <v>0.2225</v>
      </c>
      <c r="BU22" s="10">
        <v>0.29010000000000002</v>
      </c>
      <c r="BV22" s="10">
        <v>0.29249999999999998</v>
      </c>
      <c r="BW22" s="10">
        <v>0.24590000000000001</v>
      </c>
      <c r="BX22" s="10">
        <v>0.26519999999999999</v>
      </c>
      <c r="BY22" s="10">
        <v>0.30430000000000001</v>
      </c>
      <c r="BZ22" s="10">
        <v>0.27050000000000002</v>
      </c>
    </row>
    <row r="23" spans="1:78" x14ac:dyDescent="0.3">
      <c r="A23" s="13" t="s">
        <v>174</v>
      </c>
      <c r="B23" s="1">
        <v>0.13389999999999999</v>
      </c>
      <c r="C23" s="1">
        <v>0.1338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0.13600000000000001</v>
      </c>
      <c r="J23" s="1">
        <v>0</v>
      </c>
      <c r="K23" s="1">
        <v>0</v>
      </c>
      <c r="L23" s="1">
        <v>0</v>
      </c>
      <c r="M23" s="1">
        <v>0.14230000000000001</v>
      </c>
      <c r="N23" s="1">
        <v>0</v>
      </c>
      <c r="O23" s="1">
        <v>0.13009999999999999</v>
      </c>
      <c r="P23" s="1">
        <v>0</v>
      </c>
      <c r="Q23" s="1">
        <v>0.12609999999999999</v>
      </c>
      <c r="R23" s="1">
        <v>0.1331</v>
      </c>
      <c r="S23" s="1">
        <v>0.12759999999999999</v>
      </c>
      <c r="T23" s="1">
        <v>0</v>
      </c>
      <c r="U23" s="1">
        <v>0.1331</v>
      </c>
      <c r="V23" s="1">
        <v>0</v>
      </c>
      <c r="W23" s="1">
        <v>0</v>
      </c>
      <c r="X23" s="1">
        <v>0.13539999999999999</v>
      </c>
      <c r="Y23" s="1">
        <v>0.1399</v>
      </c>
      <c r="Z23" s="1">
        <v>0</v>
      </c>
      <c r="AA23" s="1">
        <v>0.1414</v>
      </c>
      <c r="AB23" s="1">
        <v>0</v>
      </c>
      <c r="AC23" s="1">
        <v>0</v>
      </c>
      <c r="AD23" s="1">
        <v>0.14940000000000001</v>
      </c>
      <c r="AE23" s="1">
        <v>0.14410000000000001</v>
      </c>
      <c r="AF23" s="1">
        <v>0</v>
      </c>
      <c r="AG23" s="1">
        <v>0</v>
      </c>
      <c r="AH23" s="1">
        <v>0.14419999999999999</v>
      </c>
      <c r="AI23" s="1">
        <v>0.14630000000000001</v>
      </c>
      <c r="AJ23" s="1">
        <v>0.1477</v>
      </c>
      <c r="AK23" s="1">
        <v>0.14000000000000001</v>
      </c>
      <c r="AL23" s="1">
        <v>0.1416</v>
      </c>
      <c r="AM23" s="1">
        <v>0.15359999999999999</v>
      </c>
      <c r="AN23" s="1">
        <v>0.1525</v>
      </c>
      <c r="AO23" s="1">
        <v>0.14779999999999999</v>
      </c>
      <c r="AP23" s="1">
        <v>0.14069999999999999</v>
      </c>
      <c r="AQ23" s="1">
        <v>0</v>
      </c>
      <c r="AR23" s="1">
        <v>0.1406</v>
      </c>
      <c r="AS23" s="1">
        <v>0</v>
      </c>
      <c r="AT23" s="1">
        <v>0.13619999999999999</v>
      </c>
      <c r="AU23" s="1">
        <v>0.1431</v>
      </c>
      <c r="AV23" s="1">
        <v>0.13930000000000001</v>
      </c>
      <c r="AW23" s="1">
        <v>0.13730000000000001</v>
      </c>
      <c r="AX23" s="1">
        <v>0.15790000000000001</v>
      </c>
      <c r="AY23" s="1">
        <v>0.15609999999999999</v>
      </c>
      <c r="AZ23" s="1">
        <v>0.193</v>
      </c>
      <c r="BA23" s="1">
        <v>0.1943</v>
      </c>
      <c r="BB23" s="1">
        <v>0.19800000000000001</v>
      </c>
      <c r="BC23" s="1">
        <v>0.1638</v>
      </c>
      <c r="BD23" s="1">
        <v>0.1633</v>
      </c>
      <c r="BE23" s="1">
        <v>0.13600000000000001</v>
      </c>
      <c r="BF23" s="1">
        <v>0</v>
      </c>
      <c r="BG23" s="1">
        <v>0.15620000000000001</v>
      </c>
      <c r="BH23" s="1">
        <v>0.1366</v>
      </c>
      <c r="BI23" s="1">
        <v>0</v>
      </c>
      <c r="BJ23" s="1">
        <v>0.14219999999999999</v>
      </c>
      <c r="BK23" s="1">
        <v>0.19500000000000001</v>
      </c>
      <c r="BL23" s="1">
        <v>0.1903</v>
      </c>
      <c r="BM23" s="1">
        <v>0.1401</v>
      </c>
      <c r="BN23" s="10">
        <v>0.13769999999999999</v>
      </c>
      <c r="BO23" s="10">
        <v>0.15290000000000001</v>
      </c>
      <c r="BP23" s="10">
        <v>0.15310000000000001</v>
      </c>
      <c r="BQ23" s="10">
        <v>0.18410000000000001</v>
      </c>
      <c r="BR23" s="10">
        <v>0.1958</v>
      </c>
      <c r="BS23" s="10">
        <v>0.13550000000000001</v>
      </c>
      <c r="BT23" s="10">
        <v>0.12920000000000001</v>
      </c>
      <c r="BU23" s="10">
        <v>0.19450000000000001</v>
      </c>
      <c r="BV23" s="10">
        <v>0.19570000000000001</v>
      </c>
      <c r="BW23" s="10">
        <v>0.1421</v>
      </c>
      <c r="BX23" s="10">
        <v>0.1459</v>
      </c>
      <c r="BY23" s="10">
        <v>0.19059999999999999</v>
      </c>
      <c r="BZ23" s="10">
        <v>0.15210000000000001</v>
      </c>
    </row>
    <row r="24" spans="1:78" x14ac:dyDescent="0.3">
      <c r="A24" s="13" t="s">
        <v>175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7.9399999999999998E-2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7.51E-2</v>
      </c>
      <c r="P24" s="1">
        <v>7.5999999999999998E-2</v>
      </c>
      <c r="Q24" s="1">
        <v>7.7700000000000005E-2</v>
      </c>
      <c r="R24" s="1">
        <v>0</v>
      </c>
      <c r="S24" s="1">
        <v>7.7100000000000002E-2</v>
      </c>
      <c r="T24" s="1">
        <v>0</v>
      </c>
      <c r="U24" s="1">
        <v>0</v>
      </c>
      <c r="V24" s="1">
        <v>0</v>
      </c>
      <c r="W24" s="1">
        <v>7.7100000000000002E-2</v>
      </c>
      <c r="X24" s="1">
        <v>7.6799999999999993E-2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8.5199999999999998E-2</v>
      </c>
      <c r="AK24" s="1">
        <v>8.4199999999999997E-2</v>
      </c>
      <c r="AL24" s="1">
        <v>8.2699999999999996E-2</v>
      </c>
      <c r="AM24" s="1">
        <v>9.0899999999999995E-2</v>
      </c>
      <c r="AN24" s="1">
        <v>8.9200000000000002E-2</v>
      </c>
      <c r="AO24" s="1">
        <v>8.8200000000000001E-2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8.9499999999999996E-2</v>
      </c>
      <c r="AY24" s="1">
        <v>9.1700000000000004E-2</v>
      </c>
      <c r="AZ24" s="1">
        <v>0.1095</v>
      </c>
      <c r="BA24" s="1">
        <v>0.11119999999999999</v>
      </c>
      <c r="BB24" s="1">
        <v>0</v>
      </c>
      <c r="BC24" s="1">
        <v>0</v>
      </c>
      <c r="BD24" s="1">
        <v>0</v>
      </c>
      <c r="BE24" s="1">
        <v>0</v>
      </c>
      <c r="BF24" s="1">
        <v>7.51E-2</v>
      </c>
      <c r="BG24" s="1">
        <v>8.8700000000000001E-2</v>
      </c>
      <c r="BH24" s="1">
        <v>0</v>
      </c>
      <c r="BI24" s="1">
        <v>0</v>
      </c>
      <c r="BJ24" s="1">
        <v>0</v>
      </c>
      <c r="BK24" s="1">
        <v>0.10100000000000001</v>
      </c>
      <c r="BL24" s="1">
        <v>0.10489999999999999</v>
      </c>
      <c r="BM24" s="1">
        <v>0</v>
      </c>
      <c r="BN24" s="10">
        <v>0</v>
      </c>
      <c r="BO24" s="10">
        <v>8.77E-2</v>
      </c>
      <c r="BP24" s="10">
        <v>8.8099999999999998E-2</v>
      </c>
      <c r="BQ24" s="10">
        <v>0.10349999999999999</v>
      </c>
      <c r="BR24" s="10">
        <v>0.10009999999999999</v>
      </c>
      <c r="BS24" s="10">
        <v>0</v>
      </c>
      <c r="BT24" s="10">
        <v>0</v>
      </c>
      <c r="BU24" s="10">
        <v>0.1023</v>
      </c>
      <c r="BV24" s="10">
        <v>9.6100000000000005E-2</v>
      </c>
      <c r="BW24" s="10">
        <v>8.14E-2</v>
      </c>
      <c r="BX24" s="10">
        <v>8.2100000000000006E-2</v>
      </c>
      <c r="BY24" s="10">
        <v>0.1052</v>
      </c>
      <c r="BZ24" s="10">
        <v>8.5599999999999996E-2</v>
      </c>
    </row>
    <row r="25" spans="1:78" x14ac:dyDescent="0.3">
      <c r="A25" s="13" t="s">
        <v>176</v>
      </c>
      <c r="B25" s="1">
        <v>0.14660000000000001</v>
      </c>
      <c r="C25" s="1">
        <v>0.14990000000000001</v>
      </c>
      <c r="D25" s="1">
        <v>0.14979999999999999</v>
      </c>
      <c r="E25" s="1">
        <v>0.16059999999999999</v>
      </c>
      <c r="F25" s="1">
        <v>0</v>
      </c>
      <c r="G25" s="1">
        <v>0</v>
      </c>
      <c r="H25" s="1">
        <v>0.14560000000000001</v>
      </c>
      <c r="I25" s="1">
        <v>0.14599999999999999</v>
      </c>
      <c r="J25" s="1">
        <v>0.15579999999999999</v>
      </c>
      <c r="K25" s="1">
        <v>0</v>
      </c>
      <c r="L25" s="1">
        <v>0</v>
      </c>
      <c r="M25" s="1">
        <v>0</v>
      </c>
      <c r="N25" s="1">
        <v>0.14319999999999999</v>
      </c>
      <c r="O25" s="1">
        <v>0.14299999999999999</v>
      </c>
      <c r="P25" s="1">
        <v>0</v>
      </c>
      <c r="Q25" s="1">
        <v>0</v>
      </c>
      <c r="R25" s="1">
        <v>0</v>
      </c>
      <c r="S25" s="1">
        <v>0.1419</v>
      </c>
      <c r="T25" s="1">
        <v>0.15620000000000001</v>
      </c>
      <c r="U25" s="1">
        <v>0.1434</v>
      </c>
      <c r="V25" s="1">
        <v>0.15859999999999999</v>
      </c>
      <c r="W25" s="1">
        <v>0.1401</v>
      </c>
      <c r="X25" s="1">
        <v>0.14000000000000001</v>
      </c>
      <c r="Y25" s="1">
        <v>0.1429</v>
      </c>
      <c r="Z25" s="1">
        <v>0</v>
      </c>
      <c r="AA25" s="1">
        <v>0.1497</v>
      </c>
      <c r="AB25" s="1">
        <v>0.14499999999999999</v>
      </c>
      <c r="AC25" s="1">
        <v>0.14069999999999999</v>
      </c>
      <c r="AD25" s="1">
        <v>0.15629999999999999</v>
      </c>
      <c r="AE25" s="1">
        <v>0.1545</v>
      </c>
      <c r="AF25" s="1">
        <v>0.14729999999999999</v>
      </c>
      <c r="AG25" s="1">
        <v>0</v>
      </c>
      <c r="AH25" s="1">
        <v>0.14660000000000001</v>
      </c>
      <c r="AI25" s="1">
        <v>0.16569999999999999</v>
      </c>
      <c r="AJ25" s="1">
        <v>0.1525</v>
      </c>
      <c r="AK25" s="1">
        <v>0.15079999999999999</v>
      </c>
      <c r="AL25" s="1">
        <v>0.154</v>
      </c>
      <c r="AM25" s="1">
        <v>0.1552</v>
      </c>
      <c r="AN25" s="1">
        <v>0.14649999999999999</v>
      </c>
      <c r="AO25" s="1">
        <v>0.1542</v>
      </c>
      <c r="AP25" s="1">
        <v>0.1449</v>
      </c>
      <c r="AQ25" s="1">
        <v>0</v>
      </c>
      <c r="AR25" s="1">
        <v>0.1552</v>
      </c>
      <c r="AS25" s="1">
        <v>0</v>
      </c>
      <c r="AT25" s="1">
        <v>0.1429</v>
      </c>
      <c r="AU25" s="1">
        <v>0.1462</v>
      </c>
      <c r="AV25" s="1">
        <v>0.1507</v>
      </c>
      <c r="AW25" s="1">
        <v>0.15529999999999999</v>
      </c>
      <c r="AX25" s="1">
        <v>0.15429999999999999</v>
      </c>
      <c r="AY25" s="1">
        <v>0.14829999999999999</v>
      </c>
      <c r="AZ25" s="1">
        <v>0.1822</v>
      </c>
      <c r="BA25" s="1">
        <v>0.1857</v>
      </c>
      <c r="BB25" s="1">
        <v>0.18240000000000001</v>
      </c>
      <c r="BC25" s="1">
        <v>0.1729</v>
      </c>
      <c r="BD25" s="1">
        <v>0.1686</v>
      </c>
      <c r="BE25" s="1">
        <v>0</v>
      </c>
      <c r="BF25" s="1">
        <v>0.1452</v>
      </c>
      <c r="BG25" s="1">
        <v>0.15679999999999999</v>
      </c>
      <c r="BH25" s="1">
        <v>0.15110000000000001</v>
      </c>
      <c r="BI25" s="1">
        <v>0.15479999999999999</v>
      </c>
      <c r="BJ25" s="1">
        <v>0</v>
      </c>
      <c r="BK25" s="1">
        <v>0.1741</v>
      </c>
      <c r="BL25" s="1">
        <v>0.1797</v>
      </c>
      <c r="BM25" s="1">
        <v>0.14330000000000001</v>
      </c>
      <c r="BN25" s="10">
        <v>0.1447</v>
      </c>
      <c r="BO25" s="10">
        <v>0.16589999999999999</v>
      </c>
      <c r="BP25" s="10">
        <v>0.15240000000000001</v>
      </c>
      <c r="BQ25" s="10">
        <v>0.1799</v>
      </c>
      <c r="BR25" s="10">
        <v>0.17899999999999999</v>
      </c>
      <c r="BS25" s="10">
        <v>0.14499999999999999</v>
      </c>
      <c r="BT25" s="10">
        <v>0.14810000000000001</v>
      </c>
      <c r="BU25" s="10">
        <v>0.1807</v>
      </c>
      <c r="BV25" s="10">
        <v>0.18740000000000001</v>
      </c>
      <c r="BW25" s="10">
        <v>0.15429999999999999</v>
      </c>
      <c r="BX25" s="10">
        <v>0.15790000000000001</v>
      </c>
      <c r="BY25" s="10">
        <v>0.17749999999999999</v>
      </c>
      <c r="BZ25" s="10">
        <v>0.16500000000000001</v>
      </c>
    </row>
    <row r="26" spans="1:78" x14ac:dyDescent="0.3">
      <c r="A26" s="13" t="s">
        <v>177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7.9399999999999998E-2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7.51E-2</v>
      </c>
      <c r="P26" s="1">
        <v>7.5999999999999998E-2</v>
      </c>
      <c r="Q26" s="1">
        <v>7.7700000000000005E-2</v>
      </c>
      <c r="R26" s="1">
        <v>0</v>
      </c>
      <c r="S26" s="1">
        <v>7.7100000000000002E-2</v>
      </c>
      <c r="T26" s="1">
        <v>0</v>
      </c>
      <c r="U26" s="1">
        <v>0</v>
      </c>
      <c r="V26" s="1">
        <v>0</v>
      </c>
      <c r="W26" s="1">
        <v>7.7100000000000002E-2</v>
      </c>
      <c r="X26" s="1">
        <v>7.6799999999999993E-2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8.5199999999999998E-2</v>
      </c>
      <c r="AK26" s="1">
        <v>8.4199999999999997E-2</v>
      </c>
      <c r="AL26" s="1">
        <v>8.2699999999999996E-2</v>
      </c>
      <c r="AM26" s="1">
        <v>9.0899999999999995E-2</v>
      </c>
      <c r="AN26" s="1">
        <v>8.9200000000000002E-2</v>
      </c>
      <c r="AO26" s="1">
        <v>8.8200000000000001E-2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8.9499999999999996E-2</v>
      </c>
      <c r="AY26" s="1">
        <v>9.1700000000000004E-2</v>
      </c>
      <c r="AZ26" s="1">
        <v>0.1095</v>
      </c>
      <c r="BA26" s="1">
        <v>0.11119999999999999</v>
      </c>
      <c r="BB26" s="1">
        <v>0</v>
      </c>
      <c r="BC26" s="1">
        <v>0</v>
      </c>
      <c r="BD26" s="1">
        <v>0</v>
      </c>
      <c r="BE26" s="1">
        <v>0</v>
      </c>
      <c r="BF26" s="1">
        <v>7.51E-2</v>
      </c>
      <c r="BG26" s="1">
        <v>8.8700000000000001E-2</v>
      </c>
      <c r="BH26" s="1">
        <v>0</v>
      </c>
      <c r="BI26" s="1">
        <v>0</v>
      </c>
      <c r="BJ26" s="1">
        <v>0</v>
      </c>
      <c r="BK26" s="1">
        <v>0.10100000000000001</v>
      </c>
      <c r="BL26" s="1">
        <v>0.10489999999999999</v>
      </c>
      <c r="BM26" s="1">
        <v>0</v>
      </c>
      <c r="BN26" s="10">
        <v>0</v>
      </c>
      <c r="BO26" s="10">
        <v>8.77E-2</v>
      </c>
      <c r="BP26" s="10">
        <v>8.8099999999999998E-2</v>
      </c>
      <c r="BQ26" s="10">
        <v>0.10349999999999999</v>
      </c>
      <c r="BR26" s="10">
        <v>0.10009999999999999</v>
      </c>
      <c r="BS26" s="10">
        <v>0</v>
      </c>
      <c r="BT26" s="10">
        <v>0</v>
      </c>
      <c r="BU26" s="10">
        <v>0.1023</v>
      </c>
      <c r="BV26" s="10">
        <v>9.6100000000000005E-2</v>
      </c>
      <c r="BW26" s="10">
        <v>8.14E-2</v>
      </c>
      <c r="BX26" s="10">
        <v>8.2100000000000006E-2</v>
      </c>
      <c r="BY26" s="10">
        <v>0.1052</v>
      </c>
      <c r="BZ26" s="10">
        <v>8.5599999999999996E-2</v>
      </c>
    </row>
    <row r="27" spans="1:78" x14ac:dyDescent="0.3">
      <c r="A27" s="13" t="s">
        <v>178</v>
      </c>
      <c r="B27" s="1">
        <v>0</v>
      </c>
      <c r="C27" s="1">
        <v>0.21060000000000001</v>
      </c>
      <c r="D27" s="1">
        <v>0.2238</v>
      </c>
      <c r="E27" s="1">
        <v>0.2195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0.2135</v>
      </c>
      <c r="N27" s="1">
        <v>0</v>
      </c>
      <c r="O27" s="1">
        <v>0</v>
      </c>
      <c r="P27" s="1">
        <v>0.22339999999999999</v>
      </c>
      <c r="Q27" s="1">
        <v>0</v>
      </c>
      <c r="R27" s="1">
        <v>0</v>
      </c>
      <c r="S27" s="1">
        <v>0</v>
      </c>
      <c r="T27" s="1">
        <v>0.1724</v>
      </c>
      <c r="U27" s="1">
        <v>0</v>
      </c>
      <c r="V27" s="1">
        <v>0.21809999999999999</v>
      </c>
      <c r="W27" s="1">
        <v>0.20760000000000001</v>
      </c>
      <c r="X27" s="1">
        <v>0.21859999999999999</v>
      </c>
      <c r="Y27" s="1">
        <v>0.2266</v>
      </c>
      <c r="Z27" s="1">
        <v>0.20269999999999999</v>
      </c>
      <c r="AA27" s="1">
        <v>0.22209999999999999</v>
      </c>
      <c r="AB27" s="1">
        <v>0.2051</v>
      </c>
      <c r="AC27" s="1">
        <v>0</v>
      </c>
      <c r="AD27" s="1">
        <v>0.2303</v>
      </c>
      <c r="AE27" s="1">
        <v>0.22359999999999999</v>
      </c>
      <c r="AF27" s="1">
        <v>0</v>
      </c>
      <c r="AG27" s="1">
        <v>0.22509999999999999</v>
      </c>
      <c r="AH27" s="1">
        <v>0.2359</v>
      </c>
      <c r="AI27" s="1">
        <v>0.22459999999999999</v>
      </c>
      <c r="AJ27" s="1">
        <v>0.22389999999999999</v>
      </c>
      <c r="AK27" s="1">
        <v>0.19750000000000001</v>
      </c>
      <c r="AL27" s="1">
        <v>0.21110000000000001</v>
      </c>
      <c r="AM27" s="1">
        <v>0.22389999999999999</v>
      </c>
      <c r="AN27" s="1">
        <v>0.20569999999999999</v>
      </c>
      <c r="AO27" s="1">
        <v>0.20599999999999999</v>
      </c>
      <c r="AP27" s="1">
        <v>0.1983</v>
      </c>
      <c r="AQ27" s="1">
        <v>0</v>
      </c>
      <c r="AR27" s="1">
        <v>0.2213</v>
      </c>
      <c r="AS27" s="1">
        <v>0</v>
      </c>
      <c r="AT27" s="1">
        <v>0.2001</v>
      </c>
      <c r="AU27" s="1">
        <v>0.2374</v>
      </c>
      <c r="AV27" s="1">
        <v>0.2117</v>
      </c>
      <c r="AW27" s="1">
        <v>0.22389999999999999</v>
      </c>
      <c r="AX27" s="1">
        <v>0.23069999999999999</v>
      </c>
      <c r="AY27" s="1">
        <v>0.2</v>
      </c>
      <c r="AZ27" s="1">
        <v>0.25019999999999998</v>
      </c>
      <c r="BA27" s="1">
        <v>0.26100000000000001</v>
      </c>
      <c r="BB27" s="1">
        <v>0.2747</v>
      </c>
      <c r="BC27" s="1">
        <v>0.26650000000000001</v>
      </c>
      <c r="BD27" s="1">
        <v>0.2457</v>
      </c>
      <c r="BE27" s="1">
        <v>0</v>
      </c>
      <c r="BF27" s="1">
        <v>0</v>
      </c>
      <c r="BG27" s="1">
        <v>0.23369999999999999</v>
      </c>
      <c r="BH27" s="1">
        <v>0.2361</v>
      </c>
      <c r="BI27" s="1">
        <v>0</v>
      </c>
      <c r="BJ27" s="1">
        <v>0.22900000000000001</v>
      </c>
      <c r="BK27" s="1">
        <v>0.2651</v>
      </c>
      <c r="BL27" s="1">
        <v>0.26579999999999998</v>
      </c>
      <c r="BM27" s="1">
        <v>0.23799999999999999</v>
      </c>
      <c r="BN27" s="10">
        <v>0.2162</v>
      </c>
      <c r="BO27" s="10">
        <v>0.24149999999999999</v>
      </c>
      <c r="BP27" s="10">
        <v>0.2137</v>
      </c>
      <c r="BQ27" s="10">
        <v>0.2505</v>
      </c>
      <c r="BR27" s="10">
        <v>0.26869999999999999</v>
      </c>
      <c r="BS27" s="10">
        <v>0.2286</v>
      </c>
      <c r="BT27" s="10">
        <v>0.18490000000000001</v>
      </c>
      <c r="BU27" s="10">
        <v>0.2661</v>
      </c>
      <c r="BV27" s="10">
        <v>0.27010000000000001</v>
      </c>
      <c r="BW27" s="10">
        <v>0.21199999999999999</v>
      </c>
      <c r="BX27" s="10">
        <v>0.22459999999999999</v>
      </c>
      <c r="BY27" s="10">
        <v>0.27629999999999999</v>
      </c>
      <c r="BZ27" s="10">
        <v>0.25419999999999998</v>
      </c>
    </row>
    <row r="28" spans="1:78" x14ac:dyDescent="0.3">
      <c r="A28" s="13" t="s">
        <v>179</v>
      </c>
      <c r="B28" s="1">
        <v>0</v>
      </c>
      <c r="C28" s="1">
        <v>0.16700000000000001</v>
      </c>
      <c r="D28" s="1">
        <v>0</v>
      </c>
      <c r="E28" s="1">
        <v>0</v>
      </c>
      <c r="F28" s="1">
        <v>0.17460000000000001</v>
      </c>
      <c r="G28" s="1">
        <v>0</v>
      </c>
      <c r="H28" s="1">
        <v>0.1646</v>
      </c>
      <c r="I28" s="1">
        <v>0.1648</v>
      </c>
      <c r="J28" s="1">
        <v>0.17399999999999999</v>
      </c>
      <c r="K28" s="1">
        <v>0</v>
      </c>
      <c r="L28" s="1">
        <v>0</v>
      </c>
      <c r="M28" s="1">
        <v>0.1744</v>
      </c>
      <c r="N28" s="1">
        <v>0.1605</v>
      </c>
      <c r="O28" s="1">
        <v>0.16869999999999999</v>
      </c>
      <c r="P28" s="1">
        <v>0.17119999999999999</v>
      </c>
      <c r="Q28" s="1">
        <v>0</v>
      </c>
      <c r="R28" s="1">
        <v>0.17330000000000001</v>
      </c>
      <c r="S28" s="1">
        <v>0.16830000000000001</v>
      </c>
      <c r="T28" s="1">
        <v>0.17530000000000001</v>
      </c>
      <c r="U28" s="1">
        <v>0</v>
      </c>
      <c r="V28" s="1">
        <v>0</v>
      </c>
      <c r="W28" s="1">
        <v>0.16900000000000001</v>
      </c>
      <c r="X28" s="1">
        <v>0</v>
      </c>
      <c r="Y28" s="1">
        <v>0</v>
      </c>
      <c r="Z28" s="1">
        <v>0.18410000000000001</v>
      </c>
      <c r="AA28" s="1">
        <v>0.17499999999999999</v>
      </c>
      <c r="AB28" s="1">
        <v>0.1651</v>
      </c>
      <c r="AC28" s="1">
        <v>0.1749</v>
      </c>
      <c r="AD28" s="1">
        <v>0.18870000000000001</v>
      </c>
      <c r="AE28" s="1">
        <v>0</v>
      </c>
      <c r="AF28" s="1">
        <v>0</v>
      </c>
      <c r="AG28" s="1">
        <v>0.17399999999999999</v>
      </c>
      <c r="AH28" s="1">
        <v>0</v>
      </c>
      <c r="AI28" s="1">
        <v>0.18129999999999999</v>
      </c>
      <c r="AJ28" s="1">
        <v>0.1671</v>
      </c>
      <c r="AK28" s="1">
        <v>0</v>
      </c>
      <c r="AL28" s="1">
        <v>0</v>
      </c>
      <c r="AM28" s="1">
        <v>0.17380000000000001</v>
      </c>
      <c r="AN28" s="1">
        <v>0.1744</v>
      </c>
      <c r="AO28" s="1">
        <v>0.1759</v>
      </c>
      <c r="AP28" s="1">
        <v>0.1764</v>
      </c>
      <c r="AQ28" s="1">
        <v>0</v>
      </c>
      <c r="AR28" s="1">
        <v>0</v>
      </c>
      <c r="AS28" s="1">
        <v>0.1603</v>
      </c>
      <c r="AT28" s="1">
        <v>0</v>
      </c>
      <c r="AU28" s="1">
        <v>0.17599999999999999</v>
      </c>
      <c r="AV28" s="1">
        <v>0.16969999999999999</v>
      </c>
      <c r="AW28" s="1">
        <v>0.16750000000000001</v>
      </c>
      <c r="AX28" s="1">
        <v>0.1797</v>
      </c>
      <c r="AY28" s="1">
        <v>0.1774</v>
      </c>
      <c r="AZ28" s="1">
        <v>0</v>
      </c>
      <c r="BA28" s="1">
        <v>0</v>
      </c>
      <c r="BB28" s="1">
        <v>0</v>
      </c>
      <c r="BC28" s="1">
        <v>0.19389999999999999</v>
      </c>
      <c r="BD28" s="1">
        <v>0.19439999999999999</v>
      </c>
      <c r="BE28" s="1">
        <v>0</v>
      </c>
      <c r="BF28" s="1">
        <v>0.16739999999999999</v>
      </c>
      <c r="BG28" s="1">
        <v>0.1731</v>
      </c>
      <c r="BH28" s="1">
        <v>0</v>
      </c>
      <c r="BI28" s="1">
        <v>0</v>
      </c>
      <c r="BJ28" s="1">
        <v>0</v>
      </c>
      <c r="BK28" s="1">
        <v>0</v>
      </c>
      <c r="BL28" s="1">
        <v>0.20130000000000001</v>
      </c>
      <c r="BM28" s="1">
        <v>0.17599999999999999</v>
      </c>
      <c r="BN28" s="10">
        <v>0.1699</v>
      </c>
      <c r="BO28" s="10">
        <v>0.17530000000000001</v>
      </c>
      <c r="BP28" s="10">
        <v>0.17269999999999999</v>
      </c>
      <c r="BQ28" s="10">
        <v>0.20610000000000001</v>
      </c>
      <c r="BR28" s="10">
        <v>0.2049</v>
      </c>
      <c r="BS28" s="10">
        <v>0</v>
      </c>
      <c r="BT28" s="10">
        <v>0.17380000000000001</v>
      </c>
      <c r="BU28" s="10">
        <v>0.20019999999999999</v>
      </c>
      <c r="BV28" s="10">
        <v>0.21010000000000001</v>
      </c>
      <c r="BW28" s="10">
        <v>0.17</v>
      </c>
      <c r="BX28" s="10">
        <v>0</v>
      </c>
      <c r="BY28" s="10">
        <v>0.20169999999999999</v>
      </c>
      <c r="BZ28" s="10">
        <v>0.17699999999999999</v>
      </c>
    </row>
    <row r="29" spans="1:78" x14ac:dyDescent="0.3">
      <c r="A29" s="13" t="s">
        <v>180</v>
      </c>
      <c r="B29" s="1">
        <v>0</v>
      </c>
      <c r="C29" s="1">
        <v>0.2258</v>
      </c>
      <c r="D29" s="1">
        <v>0.26850000000000002</v>
      </c>
      <c r="E29" s="1">
        <v>0</v>
      </c>
      <c r="F29" s="1">
        <v>0.2591</v>
      </c>
      <c r="G29" s="1">
        <v>0</v>
      </c>
      <c r="H29" s="1">
        <v>0</v>
      </c>
      <c r="I29" s="1">
        <v>0.22850000000000001</v>
      </c>
      <c r="J29" s="1">
        <v>0.25600000000000001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0.2387</v>
      </c>
      <c r="Q29" s="1">
        <v>0.25719999999999998</v>
      </c>
      <c r="R29" s="1">
        <v>0</v>
      </c>
      <c r="S29" s="1">
        <v>0.2344</v>
      </c>
      <c r="T29" s="1">
        <v>0</v>
      </c>
      <c r="U29" s="1">
        <v>0</v>
      </c>
      <c r="V29" s="1">
        <v>0</v>
      </c>
      <c r="W29" s="1">
        <v>0.24859999999999999</v>
      </c>
      <c r="X29" s="1">
        <v>0</v>
      </c>
      <c r="Y29" s="1">
        <v>0.25679999999999997</v>
      </c>
      <c r="Z29" s="1">
        <v>0.25580000000000003</v>
      </c>
      <c r="AA29" s="1">
        <v>0.29239999999999999</v>
      </c>
      <c r="AB29" s="1">
        <v>0.23810000000000001</v>
      </c>
      <c r="AC29" s="1">
        <v>0.248</v>
      </c>
      <c r="AD29" s="1">
        <v>0.28589999999999999</v>
      </c>
      <c r="AE29" s="1">
        <v>0.26569999999999999</v>
      </c>
      <c r="AF29" s="1">
        <v>0.25190000000000001</v>
      </c>
      <c r="AG29" s="1">
        <v>0</v>
      </c>
      <c r="AH29" s="1">
        <v>0.26340000000000002</v>
      </c>
      <c r="AI29" s="1">
        <v>0</v>
      </c>
      <c r="AJ29" s="1">
        <v>0</v>
      </c>
      <c r="AK29" s="1">
        <v>0</v>
      </c>
      <c r="AL29" s="1">
        <v>0.27060000000000001</v>
      </c>
      <c r="AM29" s="1">
        <v>0.26429999999999998</v>
      </c>
      <c r="AN29" s="1">
        <v>0.24629999999999999</v>
      </c>
      <c r="AO29" s="1">
        <v>0.26040000000000002</v>
      </c>
      <c r="AP29" s="1">
        <v>0.26190000000000002</v>
      </c>
      <c r="AQ29" s="1">
        <v>0</v>
      </c>
      <c r="AR29" s="1">
        <v>0.27110000000000001</v>
      </c>
      <c r="AS29" s="1">
        <v>0</v>
      </c>
      <c r="AT29" s="1">
        <v>0.23799999999999999</v>
      </c>
      <c r="AU29" s="1">
        <v>0.25619999999999998</v>
      </c>
      <c r="AV29" s="1">
        <v>0.26910000000000001</v>
      </c>
      <c r="AW29" s="1">
        <v>0.2838</v>
      </c>
      <c r="AX29" s="1">
        <v>0.25130000000000002</v>
      </c>
      <c r="AY29" s="1">
        <v>0.25080000000000002</v>
      </c>
      <c r="AZ29" s="1">
        <v>0.29799999999999999</v>
      </c>
      <c r="BA29" s="1">
        <v>0.30249999999999999</v>
      </c>
      <c r="BB29" s="1">
        <v>0.28649999999999998</v>
      </c>
      <c r="BC29" s="1">
        <v>0.2908</v>
      </c>
      <c r="BD29" s="1">
        <v>0.2787</v>
      </c>
      <c r="BE29" s="1">
        <v>0.2447</v>
      </c>
      <c r="BF29" s="1">
        <v>0.23039999999999999</v>
      </c>
      <c r="BG29" s="1">
        <v>0.25280000000000002</v>
      </c>
      <c r="BH29" s="1">
        <v>0.26319999999999999</v>
      </c>
      <c r="BI29" s="1">
        <v>0.26190000000000002</v>
      </c>
      <c r="BJ29" s="1">
        <v>0.26240000000000002</v>
      </c>
      <c r="BK29" s="1">
        <v>0.29530000000000001</v>
      </c>
      <c r="BL29" s="1">
        <v>0.28839999999999999</v>
      </c>
      <c r="BM29" s="1">
        <v>0.25929999999999997</v>
      </c>
      <c r="BN29" s="10">
        <v>0.27129999999999999</v>
      </c>
      <c r="BO29" s="10">
        <v>0.26150000000000001</v>
      </c>
      <c r="BP29" s="10">
        <v>0.25869999999999999</v>
      </c>
      <c r="BQ29" s="10">
        <v>0.29420000000000002</v>
      </c>
      <c r="BR29" s="10">
        <v>0.28589999999999999</v>
      </c>
      <c r="BS29" s="10">
        <v>0.27529999999999999</v>
      </c>
      <c r="BT29" s="10">
        <v>0.2487</v>
      </c>
      <c r="BU29" s="10">
        <v>0.3009</v>
      </c>
      <c r="BV29" s="10">
        <v>0.29859999999999998</v>
      </c>
      <c r="BW29" s="10">
        <v>0.26050000000000001</v>
      </c>
      <c r="BX29" s="10">
        <v>0.25979999999999998</v>
      </c>
      <c r="BY29" s="10">
        <v>0.29310000000000003</v>
      </c>
      <c r="BZ29" s="10">
        <v>0.2641</v>
      </c>
    </row>
    <row r="30" spans="1:78" x14ac:dyDescent="0.3">
      <c r="A30" s="13" t="s">
        <v>181</v>
      </c>
      <c r="B30" s="1">
        <v>0.52129999999999999</v>
      </c>
      <c r="C30" s="1">
        <v>0.57630000000000003</v>
      </c>
      <c r="D30" s="1">
        <v>0</v>
      </c>
      <c r="E30" s="1">
        <v>0.6028</v>
      </c>
      <c r="F30" s="1">
        <v>0.61599999999999999</v>
      </c>
      <c r="G30" s="1">
        <v>0</v>
      </c>
      <c r="H30" s="1">
        <v>0</v>
      </c>
      <c r="I30" s="1">
        <v>0.56130000000000002</v>
      </c>
      <c r="J30" s="1">
        <v>0.57489999999999997</v>
      </c>
      <c r="K30" s="1">
        <v>0.53910000000000002</v>
      </c>
      <c r="L30" s="1">
        <v>0</v>
      </c>
      <c r="M30" s="1">
        <v>0.53339999999999999</v>
      </c>
      <c r="N30" s="1">
        <v>0</v>
      </c>
      <c r="O30" s="1">
        <v>0</v>
      </c>
      <c r="P30" s="1">
        <v>0</v>
      </c>
      <c r="Q30" s="1">
        <v>0</v>
      </c>
      <c r="R30" s="1">
        <v>0.5726</v>
      </c>
      <c r="S30" s="1">
        <v>0</v>
      </c>
      <c r="T30" s="1">
        <v>0.59809999999999997</v>
      </c>
      <c r="U30" s="1">
        <v>0.53290000000000004</v>
      </c>
      <c r="V30" s="1">
        <v>0</v>
      </c>
      <c r="W30" s="1">
        <v>0.51970000000000005</v>
      </c>
      <c r="X30" s="1">
        <v>0</v>
      </c>
      <c r="Y30" s="1">
        <v>0.58599999999999997</v>
      </c>
      <c r="Z30" s="1">
        <v>0.57669999999999999</v>
      </c>
      <c r="AA30" s="1">
        <v>0</v>
      </c>
      <c r="AB30" s="1">
        <v>0.54849999999999999</v>
      </c>
      <c r="AC30" s="1">
        <v>0.53339999999999999</v>
      </c>
      <c r="AD30" s="1">
        <v>0</v>
      </c>
      <c r="AE30" s="1">
        <v>0.53469999999999995</v>
      </c>
      <c r="AF30" s="1">
        <v>0</v>
      </c>
      <c r="AG30" s="1">
        <v>0.60729999999999995</v>
      </c>
      <c r="AH30" s="1">
        <v>0.56440000000000001</v>
      </c>
      <c r="AI30" s="1">
        <v>0.58530000000000004</v>
      </c>
      <c r="AJ30" s="1">
        <v>0</v>
      </c>
      <c r="AK30" s="1">
        <v>0.57709999999999995</v>
      </c>
      <c r="AL30" s="1">
        <v>0.56559999999999999</v>
      </c>
      <c r="AM30" s="1">
        <v>0</v>
      </c>
      <c r="AN30" s="1">
        <v>0.5655</v>
      </c>
      <c r="AO30" s="1">
        <v>0</v>
      </c>
      <c r="AP30" s="1">
        <v>0.58650000000000002</v>
      </c>
      <c r="AQ30" s="1">
        <v>0</v>
      </c>
      <c r="AR30" s="1">
        <v>0.53539999999999999</v>
      </c>
      <c r="AS30" s="1">
        <v>0</v>
      </c>
      <c r="AT30" s="1">
        <v>0.52839999999999998</v>
      </c>
      <c r="AU30" s="1">
        <v>0.53469999999999995</v>
      </c>
      <c r="AV30" s="1">
        <v>0</v>
      </c>
      <c r="AW30" s="1">
        <v>0</v>
      </c>
      <c r="AX30" s="1">
        <v>0.61580000000000001</v>
      </c>
      <c r="AY30" s="1">
        <v>0</v>
      </c>
      <c r="AZ30" s="1">
        <v>0.62039999999999995</v>
      </c>
      <c r="BA30" s="1">
        <v>0.61609999999999998</v>
      </c>
      <c r="BB30" s="1">
        <v>0</v>
      </c>
      <c r="BC30" s="1">
        <v>0</v>
      </c>
      <c r="BD30" s="1">
        <v>0</v>
      </c>
      <c r="BE30" s="1">
        <v>0</v>
      </c>
      <c r="BF30" s="1">
        <v>0.56530000000000002</v>
      </c>
      <c r="BG30" s="1">
        <v>0</v>
      </c>
      <c r="BH30" s="1">
        <v>0</v>
      </c>
      <c r="BI30" s="1">
        <v>0.56399999999999995</v>
      </c>
      <c r="BJ30" s="1">
        <v>0.52980000000000005</v>
      </c>
      <c r="BK30" s="1">
        <v>0</v>
      </c>
      <c r="BL30" s="1">
        <v>0.68240000000000001</v>
      </c>
      <c r="BM30" s="1">
        <v>0</v>
      </c>
      <c r="BN30" s="10">
        <v>0.57430000000000003</v>
      </c>
      <c r="BO30" s="10">
        <v>0.63190000000000002</v>
      </c>
      <c r="BP30" s="10">
        <v>0</v>
      </c>
      <c r="BQ30" s="10">
        <v>0.64229999999999998</v>
      </c>
      <c r="BR30" s="10">
        <v>0</v>
      </c>
      <c r="BS30" s="10">
        <v>0</v>
      </c>
      <c r="BT30" s="10">
        <v>0</v>
      </c>
      <c r="BU30" s="10">
        <v>0</v>
      </c>
      <c r="BV30" s="10">
        <v>0.66420000000000001</v>
      </c>
      <c r="BW30" s="10">
        <v>0.58050000000000002</v>
      </c>
      <c r="BX30" s="10">
        <v>0.55649999999999999</v>
      </c>
      <c r="BY30" s="10">
        <v>0.64380000000000004</v>
      </c>
      <c r="BZ30" s="10">
        <v>0.60909999999999997</v>
      </c>
    </row>
    <row r="31" spans="1:78" x14ac:dyDescent="0.3">
      <c r="A31" s="13" t="s">
        <v>182</v>
      </c>
      <c r="B31" s="1">
        <v>0</v>
      </c>
      <c r="C31" s="1">
        <v>9.3700000000000006E-2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9.2399999999999996E-2</v>
      </c>
      <c r="M31" s="1">
        <v>0</v>
      </c>
      <c r="N31" s="1">
        <v>0</v>
      </c>
      <c r="O31" s="1">
        <v>9.3899999999999997E-2</v>
      </c>
      <c r="P31" s="1">
        <v>0</v>
      </c>
      <c r="Q31" s="1">
        <v>9.7900000000000001E-2</v>
      </c>
      <c r="R31" s="1">
        <v>0</v>
      </c>
      <c r="S31" s="1">
        <v>9.9699999999999997E-2</v>
      </c>
      <c r="T31" s="1">
        <v>0.1038</v>
      </c>
      <c r="U31" s="1">
        <v>0</v>
      </c>
      <c r="V31" s="1">
        <v>0</v>
      </c>
      <c r="W31" s="1">
        <v>9.5200000000000007E-2</v>
      </c>
      <c r="X31" s="1">
        <v>9.4799999999999995E-2</v>
      </c>
      <c r="Y31" s="1">
        <v>0</v>
      </c>
      <c r="Z31" s="1">
        <v>0.105</v>
      </c>
      <c r="AA31" s="1">
        <v>0</v>
      </c>
      <c r="AB31" s="1">
        <v>0</v>
      </c>
      <c r="AC31" s="1">
        <v>0.10150000000000001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9.2499999999999999E-2</v>
      </c>
      <c r="AK31" s="1">
        <v>9.5399999999999999E-2</v>
      </c>
      <c r="AL31" s="1">
        <v>9.6100000000000005E-2</v>
      </c>
      <c r="AM31" s="1">
        <v>0</v>
      </c>
      <c r="AN31" s="1">
        <v>0</v>
      </c>
      <c r="AO31" s="1">
        <v>0.1007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0.12570000000000001</v>
      </c>
      <c r="AW31" s="1">
        <v>0</v>
      </c>
      <c r="AX31" s="1">
        <v>9.9400000000000002E-2</v>
      </c>
      <c r="AY31" s="1">
        <v>9.9699999999999997E-2</v>
      </c>
      <c r="AZ31" s="1">
        <v>0.1142</v>
      </c>
      <c r="BA31" s="1">
        <v>0.1178</v>
      </c>
      <c r="BB31" s="1">
        <v>0</v>
      </c>
      <c r="BC31" s="1">
        <v>0.1124</v>
      </c>
      <c r="BD31" s="1">
        <v>0.11210000000000001</v>
      </c>
      <c r="BE31" s="1">
        <v>0</v>
      </c>
      <c r="BF31" s="1">
        <v>9.74E-2</v>
      </c>
      <c r="BG31" s="1">
        <v>0.10440000000000001</v>
      </c>
      <c r="BH31" s="1">
        <v>0.124</v>
      </c>
      <c r="BI31" s="1">
        <v>0</v>
      </c>
      <c r="BJ31" s="1">
        <v>0</v>
      </c>
      <c r="BK31" s="1">
        <v>0.1169</v>
      </c>
      <c r="BL31" s="1">
        <v>0.1142</v>
      </c>
      <c r="BM31" s="1">
        <v>0</v>
      </c>
      <c r="BN31" s="10">
        <v>0</v>
      </c>
      <c r="BO31" s="10">
        <v>0.1013</v>
      </c>
      <c r="BP31" s="10">
        <v>0.1046</v>
      </c>
      <c r="BQ31" s="10">
        <v>0.1145</v>
      </c>
      <c r="BR31" s="10">
        <v>0.11509999999999999</v>
      </c>
      <c r="BS31" s="10">
        <v>0</v>
      </c>
      <c r="BT31" s="10">
        <v>0</v>
      </c>
      <c r="BU31" s="10">
        <v>0.1174</v>
      </c>
      <c r="BV31" s="10">
        <v>0.1148</v>
      </c>
      <c r="BW31" s="10">
        <v>9.4399999999999998E-2</v>
      </c>
      <c r="BX31" s="10">
        <v>9.5399999999999999E-2</v>
      </c>
      <c r="BY31" s="10">
        <v>0.1163</v>
      </c>
      <c r="BZ31" s="10">
        <v>0.1017</v>
      </c>
    </row>
    <row r="32" spans="1:78" x14ac:dyDescent="0.3">
      <c r="A32" s="13" t="s">
        <v>183</v>
      </c>
      <c r="B32" s="1">
        <v>9.9699999999999997E-2</v>
      </c>
      <c r="C32" s="1">
        <v>0</v>
      </c>
      <c r="D32" s="1">
        <v>0.1082</v>
      </c>
      <c r="E32" s="1">
        <v>0.1142</v>
      </c>
      <c r="F32" s="1">
        <v>0</v>
      </c>
      <c r="G32" s="1">
        <v>0</v>
      </c>
      <c r="H32" s="1">
        <v>0.1048</v>
      </c>
      <c r="I32" s="1">
        <v>0.1033</v>
      </c>
      <c r="J32" s="1">
        <v>0</v>
      </c>
      <c r="K32" s="1">
        <v>0</v>
      </c>
      <c r="L32" s="1">
        <v>0.1036</v>
      </c>
      <c r="M32" s="1">
        <v>0</v>
      </c>
      <c r="N32" s="1">
        <v>0</v>
      </c>
      <c r="O32" s="1">
        <v>0.1075</v>
      </c>
      <c r="P32" s="1">
        <v>0</v>
      </c>
      <c r="Q32" s="1">
        <v>0.1041</v>
      </c>
      <c r="R32" s="1">
        <v>0</v>
      </c>
      <c r="S32" s="1">
        <v>0.1053</v>
      </c>
      <c r="T32" s="1">
        <v>0</v>
      </c>
      <c r="U32" s="1">
        <v>0.10589999999999999</v>
      </c>
      <c r="V32" s="1">
        <v>0</v>
      </c>
      <c r="W32" s="1">
        <v>0.1043</v>
      </c>
      <c r="X32" s="1">
        <v>0</v>
      </c>
      <c r="Y32" s="1">
        <v>0.10340000000000001</v>
      </c>
      <c r="Z32" s="1">
        <v>0</v>
      </c>
      <c r="AA32" s="1">
        <v>0.1051</v>
      </c>
      <c r="AB32" s="1">
        <v>0.1048</v>
      </c>
      <c r="AC32" s="1">
        <v>0.1106</v>
      </c>
      <c r="AD32" s="1">
        <v>0</v>
      </c>
      <c r="AE32" s="1">
        <v>0.1051</v>
      </c>
      <c r="AF32" s="1">
        <v>0.105</v>
      </c>
      <c r="AG32" s="1">
        <v>0.111</v>
      </c>
      <c r="AH32" s="1">
        <v>0.11</v>
      </c>
      <c r="AI32" s="1">
        <v>0.11559999999999999</v>
      </c>
      <c r="AJ32" s="1">
        <v>0.10589999999999999</v>
      </c>
      <c r="AK32" s="1">
        <v>0.1057</v>
      </c>
      <c r="AL32" s="1">
        <v>0.1085</v>
      </c>
      <c r="AM32" s="1">
        <v>0.1066</v>
      </c>
      <c r="AN32" s="1">
        <v>0</v>
      </c>
      <c r="AO32" s="1">
        <v>0.1069</v>
      </c>
      <c r="AP32" s="1">
        <v>0.1096</v>
      </c>
      <c r="AQ32" s="1">
        <v>0.1056</v>
      </c>
      <c r="AR32" s="1">
        <v>0.10639999999999999</v>
      </c>
      <c r="AS32" s="1">
        <v>0</v>
      </c>
      <c r="AT32" s="1">
        <v>0.1099</v>
      </c>
      <c r="AU32" s="1">
        <v>0.1072</v>
      </c>
      <c r="AV32" s="1">
        <v>0</v>
      </c>
      <c r="AW32" s="1">
        <v>0.1074</v>
      </c>
      <c r="AX32" s="1">
        <v>0</v>
      </c>
      <c r="AY32" s="1">
        <v>0.1071</v>
      </c>
      <c r="AZ32" s="1">
        <v>0.1273</v>
      </c>
      <c r="BA32" s="1">
        <v>0.12609999999999999</v>
      </c>
      <c r="BB32" s="1">
        <v>0.12709999999999999</v>
      </c>
      <c r="BC32" s="1">
        <v>0.1208</v>
      </c>
      <c r="BD32" s="1">
        <v>0</v>
      </c>
      <c r="BE32" s="1">
        <v>0</v>
      </c>
      <c r="BF32" s="1">
        <v>0</v>
      </c>
      <c r="BG32" s="1">
        <v>0.11119999999999999</v>
      </c>
      <c r="BH32" s="1">
        <v>0.1128</v>
      </c>
      <c r="BI32" s="1">
        <v>0.11310000000000001</v>
      </c>
      <c r="BJ32" s="1">
        <v>0.1085</v>
      </c>
      <c r="BK32" s="1">
        <v>0.12620000000000001</v>
      </c>
      <c r="BL32" s="1">
        <v>0.12770000000000001</v>
      </c>
      <c r="BM32" s="1">
        <v>0.1032</v>
      </c>
      <c r="BN32" s="10">
        <v>0.1056</v>
      </c>
      <c r="BO32" s="10">
        <v>0.1138</v>
      </c>
      <c r="BP32" s="10">
        <v>0.1147</v>
      </c>
      <c r="BQ32" s="10">
        <v>0.124</v>
      </c>
      <c r="BR32" s="10">
        <v>0.12540000000000001</v>
      </c>
      <c r="BS32" s="10">
        <v>0.1036</v>
      </c>
      <c r="BT32" s="10">
        <v>0</v>
      </c>
      <c r="BU32" s="10">
        <v>0.129</v>
      </c>
      <c r="BV32" s="10">
        <v>0.1273</v>
      </c>
      <c r="BW32" s="10">
        <v>0.1091</v>
      </c>
      <c r="BX32" s="10">
        <v>0.10539999999999999</v>
      </c>
      <c r="BY32" s="10">
        <v>0.12670000000000001</v>
      </c>
      <c r="BZ32" s="10">
        <v>0.1147</v>
      </c>
    </row>
    <row r="33" spans="1:78" x14ac:dyDescent="0.3">
      <c r="A33" s="13" t="s">
        <v>184</v>
      </c>
      <c r="B33" s="1">
        <v>0</v>
      </c>
      <c r="C33" s="1">
        <v>0</v>
      </c>
      <c r="D33" s="1">
        <v>0</v>
      </c>
      <c r="E33" s="1">
        <v>0.1222</v>
      </c>
      <c r="F33" s="1">
        <v>0</v>
      </c>
      <c r="G33" s="1">
        <v>0</v>
      </c>
      <c r="H33" s="1">
        <v>0.10639999999999999</v>
      </c>
      <c r="I33" s="1">
        <v>0</v>
      </c>
      <c r="J33" s="1">
        <v>0</v>
      </c>
      <c r="K33" s="1">
        <v>0.105</v>
      </c>
      <c r="L33" s="1">
        <v>0</v>
      </c>
      <c r="M33" s="1">
        <v>0</v>
      </c>
      <c r="N33" s="1">
        <v>0</v>
      </c>
      <c r="O33" s="1">
        <v>0.11070000000000001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0.1047</v>
      </c>
      <c r="V33" s="1">
        <v>0</v>
      </c>
      <c r="W33" s="1">
        <v>0.1116</v>
      </c>
      <c r="X33" s="1">
        <v>0.1087</v>
      </c>
      <c r="Y33" s="1">
        <v>0.114</v>
      </c>
      <c r="Z33" s="1">
        <v>0</v>
      </c>
      <c r="AA33" s="1">
        <v>0.12</v>
      </c>
      <c r="AB33" s="1">
        <v>0.1095</v>
      </c>
      <c r="AC33" s="1">
        <v>0</v>
      </c>
      <c r="AD33" s="1">
        <v>0.1221</v>
      </c>
      <c r="AE33" s="1">
        <v>0.1173</v>
      </c>
      <c r="AF33" s="1">
        <v>0</v>
      </c>
      <c r="AG33" s="1">
        <v>0.1139</v>
      </c>
      <c r="AH33" s="1">
        <v>0.1148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0.1187</v>
      </c>
      <c r="AP33" s="1">
        <v>0.1119</v>
      </c>
      <c r="AQ33" s="1">
        <v>0</v>
      </c>
      <c r="AR33" s="1">
        <v>0.11840000000000001</v>
      </c>
      <c r="AS33" s="1">
        <v>0</v>
      </c>
      <c r="AT33" s="1">
        <v>0.115</v>
      </c>
      <c r="AU33" s="1">
        <v>0.1123</v>
      </c>
      <c r="AV33" s="1">
        <v>0.1147</v>
      </c>
      <c r="AW33" s="1">
        <v>0.1123</v>
      </c>
      <c r="AX33" s="1">
        <v>0</v>
      </c>
      <c r="AY33" s="1">
        <v>0.11700000000000001</v>
      </c>
      <c r="AZ33" s="1">
        <v>0</v>
      </c>
      <c r="BA33" s="1">
        <v>0</v>
      </c>
      <c r="BB33" s="1">
        <v>0.13009999999999999</v>
      </c>
      <c r="BC33" s="1">
        <v>0.12759999999999999</v>
      </c>
      <c r="BD33" s="1">
        <v>0.1242</v>
      </c>
      <c r="BE33" s="1">
        <v>0</v>
      </c>
      <c r="BF33" s="1">
        <v>0</v>
      </c>
      <c r="BG33" s="1">
        <v>0.1149</v>
      </c>
      <c r="BH33" s="1">
        <v>0.11550000000000001</v>
      </c>
      <c r="BI33" s="1">
        <v>0</v>
      </c>
      <c r="BJ33" s="1">
        <v>0.1119</v>
      </c>
      <c r="BK33" s="1">
        <v>0</v>
      </c>
      <c r="BL33" s="1">
        <v>0</v>
      </c>
      <c r="BM33" s="1">
        <v>0.10639999999999999</v>
      </c>
      <c r="BN33" s="10">
        <v>0.1123</v>
      </c>
      <c r="BO33" s="10">
        <v>0.11940000000000001</v>
      </c>
      <c r="BP33" s="10">
        <v>0.1226</v>
      </c>
      <c r="BQ33" s="10">
        <v>0.13719999999999999</v>
      </c>
      <c r="BR33" s="10">
        <v>0</v>
      </c>
      <c r="BS33" s="10">
        <v>0.11210000000000001</v>
      </c>
      <c r="BT33" s="10">
        <v>0.1072</v>
      </c>
      <c r="BU33" s="10">
        <v>0</v>
      </c>
      <c r="BV33" s="10">
        <v>0.13469999999999999</v>
      </c>
      <c r="BW33" s="10">
        <v>0</v>
      </c>
      <c r="BX33" s="10">
        <v>0.1159</v>
      </c>
      <c r="BY33" s="10">
        <v>0.1353</v>
      </c>
      <c r="BZ33" s="10">
        <v>0.1203</v>
      </c>
    </row>
    <row r="34" spans="1:78" x14ac:dyDescent="0.3">
      <c r="A34" s="13" t="s">
        <v>185</v>
      </c>
      <c r="B34" s="1">
        <v>0</v>
      </c>
      <c r="C34" s="1">
        <v>7.7700000000000005E-2</v>
      </c>
      <c r="D34" s="1">
        <v>7.6600000000000001E-2</v>
      </c>
      <c r="E34" s="1">
        <v>0</v>
      </c>
      <c r="F34" s="1">
        <v>7.8600000000000003E-2</v>
      </c>
      <c r="G34" s="1">
        <v>7.7600000000000002E-2</v>
      </c>
      <c r="H34" s="1">
        <v>0</v>
      </c>
      <c r="I34" s="1">
        <v>0</v>
      </c>
      <c r="J34" s="1">
        <v>8.2900000000000001E-2</v>
      </c>
      <c r="K34" s="1">
        <v>0</v>
      </c>
      <c r="L34" s="1">
        <v>0</v>
      </c>
      <c r="M34" s="1">
        <v>7.2999999999999995E-2</v>
      </c>
      <c r="N34" s="1">
        <v>7.4800000000000005E-2</v>
      </c>
      <c r="O34" s="1">
        <v>7.0300000000000001E-2</v>
      </c>
      <c r="P34" s="1">
        <v>7.4700000000000003E-2</v>
      </c>
      <c r="Q34" s="1">
        <v>7.8299999999999995E-2</v>
      </c>
      <c r="R34" s="1">
        <v>7.6999999999999999E-2</v>
      </c>
      <c r="S34" s="1">
        <v>0</v>
      </c>
      <c r="T34" s="1">
        <v>7.85E-2</v>
      </c>
      <c r="U34" s="1">
        <v>0</v>
      </c>
      <c r="V34" s="1">
        <v>8.6599999999999996E-2</v>
      </c>
      <c r="W34" s="1">
        <v>0</v>
      </c>
      <c r="X34" s="1">
        <v>0</v>
      </c>
      <c r="Y34" s="1">
        <v>7.5600000000000001E-2</v>
      </c>
      <c r="Z34" s="1">
        <v>9.1999999999999998E-2</v>
      </c>
      <c r="AA34" s="1">
        <v>7.2099999999999997E-2</v>
      </c>
      <c r="AB34" s="1">
        <v>0</v>
      </c>
      <c r="AC34" s="1">
        <v>8.6800000000000002E-2</v>
      </c>
      <c r="AD34" s="1">
        <v>8.6099999999999996E-2</v>
      </c>
      <c r="AE34" s="1">
        <v>0</v>
      </c>
      <c r="AF34" s="1">
        <v>7.8799999999999995E-2</v>
      </c>
      <c r="AG34" s="1">
        <v>8.1199999999999994E-2</v>
      </c>
      <c r="AH34" s="1">
        <v>7.7499999999999999E-2</v>
      </c>
      <c r="AI34" s="1">
        <v>8.9200000000000002E-2</v>
      </c>
      <c r="AJ34" s="1">
        <v>7.5700000000000003E-2</v>
      </c>
      <c r="AK34" s="1">
        <v>0</v>
      </c>
      <c r="AL34" s="1">
        <v>0</v>
      </c>
      <c r="AM34" s="1">
        <v>0</v>
      </c>
      <c r="AN34" s="1">
        <v>7.0699999999999999E-2</v>
      </c>
      <c r="AO34" s="1">
        <v>7.3099999999999998E-2</v>
      </c>
      <c r="AP34" s="1">
        <v>7.7799999999999994E-2</v>
      </c>
      <c r="AQ34" s="1">
        <v>0</v>
      </c>
      <c r="AR34" s="1" t="s">
        <v>160</v>
      </c>
      <c r="AS34" s="1">
        <v>7.4099999999999999E-2</v>
      </c>
      <c r="AT34" s="1">
        <v>7.6999999999999999E-2</v>
      </c>
      <c r="AU34" s="1">
        <v>7.3899999999999993E-2</v>
      </c>
      <c r="AV34" s="1">
        <v>7.3400000000000007E-2</v>
      </c>
      <c r="AW34" s="1">
        <v>7.3999999999999996E-2</v>
      </c>
      <c r="AX34" s="1">
        <v>0</v>
      </c>
      <c r="AY34" s="1">
        <v>0</v>
      </c>
      <c r="AZ34" s="1">
        <v>0</v>
      </c>
      <c r="BA34" s="1">
        <v>0</v>
      </c>
      <c r="BB34" s="1">
        <v>0.1057</v>
      </c>
      <c r="BC34" s="1">
        <v>0.11169999999999999</v>
      </c>
      <c r="BD34" s="1">
        <v>0.1074</v>
      </c>
      <c r="BE34" s="1">
        <v>0</v>
      </c>
      <c r="BF34" s="1">
        <v>0</v>
      </c>
      <c r="BG34" s="1">
        <v>7.2700000000000001E-2</v>
      </c>
      <c r="BH34" s="1">
        <v>7.5300000000000006E-2</v>
      </c>
      <c r="BI34" s="1">
        <v>8.5900000000000004E-2</v>
      </c>
      <c r="BJ34" s="1">
        <v>7.4399999999999994E-2</v>
      </c>
      <c r="BK34" s="1">
        <v>9.4700000000000006E-2</v>
      </c>
      <c r="BL34" s="1">
        <v>8.7599999999999997E-2</v>
      </c>
      <c r="BM34" s="1">
        <v>7.9399999999999998E-2</v>
      </c>
      <c r="BN34" s="10" t="s">
        <v>160</v>
      </c>
      <c r="BO34" s="10">
        <v>8.2699999999999996E-2</v>
      </c>
      <c r="BP34" s="10">
        <v>7.4800000000000005E-2</v>
      </c>
      <c r="BQ34" s="10">
        <v>9.3700000000000006E-2</v>
      </c>
      <c r="BR34" s="10">
        <v>8.9399999999999993E-2</v>
      </c>
      <c r="BS34" s="10">
        <v>0</v>
      </c>
      <c r="BT34" s="10">
        <v>0</v>
      </c>
      <c r="BU34" s="10">
        <v>8.8900000000000007E-2</v>
      </c>
      <c r="BV34" s="10">
        <v>9.1800000000000007E-2</v>
      </c>
      <c r="BW34" s="10">
        <v>0</v>
      </c>
      <c r="BX34" s="10">
        <v>0</v>
      </c>
      <c r="BY34" s="10">
        <v>8.9300000000000004E-2</v>
      </c>
      <c r="BZ34" s="10">
        <v>7.0000000000000007E-2</v>
      </c>
    </row>
    <row r="35" spans="1:78" x14ac:dyDescent="0.3">
      <c r="A35" s="13" t="s">
        <v>186</v>
      </c>
      <c r="B35" s="1">
        <v>0.06</v>
      </c>
      <c r="C35" s="1">
        <v>6.1100000000000002E-2</v>
      </c>
      <c r="D35" s="1">
        <v>6.1899999999999997E-2</v>
      </c>
      <c r="E35" s="1">
        <v>6.5600000000000006E-2</v>
      </c>
      <c r="F35" s="1">
        <v>0</v>
      </c>
      <c r="G35" s="1">
        <v>6.0199999999999997E-2</v>
      </c>
      <c r="H35" s="1">
        <v>0</v>
      </c>
      <c r="I35" s="1">
        <v>5.3900000000000003E-2</v>
      </c>
      <c r="J35" s="1">
        <v>0</v>
      </c>
      <c r="K35" s="1">
        <v>5.7700000000000001E-2</v>
      </c>
      <c r="L35" s="1">
        <v>6.1199999999999997E-2</v>
      </c>
      <c r="M35" s="1">
        <v>6.2799999999999995E-2</v>
      </c>
      <c r="N35" s="1">
        <v>5.74E-2</v>
      </c>
      <c r="O35" s="1">
        <v>0</v>
      </c>
      <c r="P35" s="1">
        <v>0</v>
      </c>
      <c r="Q35" s="1">
        <v>5.8900000000000001E-2</v>
      </c>
      <c r="R35" s="1">
        <v>0</v>
      </c>
      <c r="S35" s="1">
        <v>0</v>
      </c>
      <c r="T35" s="1">
        <v>0</v>
      </c>
      <c r="U35" s="1">
        <v>5.8599999999999999E-2</v>
      </c>
      <c r="V35" s="1">
        <v>5.62E-2</v>
      </c>
      <c r="W35" s="1">
        <v>5.9799999999999999E-2</v>
      </c>
      <c r="X35" s="1">
        <v>0</v>
      </c>
      <c r="Y35" s="1">
        <v>0</v>
      </c>
      <c r="Z35" s="1">
        <v>6.4399999999999999E-2</v>
      </c>
      <c r="AA35" s="1">
        <v>0</v>
      </c>
      <c r="AB35" s="1">
        <v>0</v>
      </c>
      <c r="AC35" s="1">
        <v>0</v>
      </c>
      <c r="AD35" s="1">
        <v>6.3600000000000004E-2</v>
      </c>
      <c r="AE35" s="1">
        <v>6.0499999999999998E-2</v>
      </c>
      <c r="AF35" s="1">
        <v>5.8700000000000002E-2</v>
      </c>
      <c r="AG35" s="1">
        <v>0</v>
      </c>
      <c r="AH35" s="1">
        <v>5.8500000000000003E-2</v>
      </c>
      <c r="AI35" s="1">
        <v>6.5600000000000006E-2</v>
      </c>
      <c r="AJ35" s="1">
        <v>5.6399999999999999E-2</v>
      </c>
      <c r="AK35" s="1">
        <v>5.79E-2</v>
      </c>
      <c r="AL35" s="1">
        <v>5.9200000000000003E-2</v>
      </c>
      <c r="AM35" s="1">
        <v>5.7000000000000002E-2</v>
      </c>
      <c r="AN35" s="1">
        <v>5.96E-2</v>
      </c>
      <c r="AO35" s="1">
        <v>5.9799999999999999E-2</v>
      </c>
      <c r="AP35" s="1">
        <v>0</v>
      </c>
      <c r="AQ35" s="1">
        <v>6.0299999999999999E-2</v>
      </c>
      <c r="AR35" s="1">
        <v>6.1600000000000002E-2</v>
      </c>
      <c r="AS35" s="1">
        <v>5.7299999999999997E-2</v>
      </c>
      <c r="AT35" s="1">
        <v>6.13E-2</v>
      </c>
      <c r="AU35" s="1">
        <v>0</v>
      </c>
      <c r="AV35" s="1" t="s">
        <v>160</v>
      </c>
      <c r="AW35" s="1">
        <v>5.8400000000000001E-2</v>
      </c>
      <c r="AX35" s="1">
        <v>5.8999999999999997E-2</v>
      </c>
      <c r="AY35" s="1">
        <v>0</v>
      </c>
      <c r="AZ35" s="1">
        <v>6.6199999999999995E-2</v>
      </c>
      <c r="BA35" s="1">
        <v>6.7400000000000002E-2</v>
      </c>
      <c r="BB35" s="1">
        <v>6.6600000000000006E-2</v>
      </c>
      <c r="BC35" s="1">
        <v>7.7399999999999997E-2</v>
      </c>
      <c r="BD35" s="1">
        <v>8.5500000000000007E-2</v>
      </c>
      <c r="BE35" s="1">
        <v>0</v>
      </c>
      <c r="BF35" s="1">
        <v>5.9900000000000002E-2</v>
      </c>
      <c r="BG35" s="1">
        <v>6.0400000000000002E-2</v>
      </c>
      <c r="BH35" s="1">
        <v>0</v>
      </c>
      <c r="BI35" s="1">
        <v>6.1800000000000001E-2</v>
      </c>
      <c r="BJ35" s="1">
        <v>6.0600000000000001E-2</v>
      </c>
      <c r="BK35" s="1">
        <v>6.6299999999999998E-2</v>
      </c>
      <c r="BL35" s="1">
        <v>6.5600000000000006E-2</v>
      </c>
      <c r="BM35" s="1">
        <v>5.6800000000000003E-2</v>
      </c>
      <c r="BN35" s="10">
        <v>0</v>
      </c>
      <c r="BO35" s="10">
        <v>5.6399999999999999E-2</v>
      </c>
      <c r="BP35" s="10">
        <v>6.0499999999999998E-2</v>
      </c>
      <c r="BQ35" s="10">
        <v>6.4299999999999996E-2</v>
      </c>
      <c r="BR35" s="10">
        <v>7.0999999999999994E-2</v>
      </c>
      <c r="BS35" s="10">
        <v>0</v>
      </c>
      <c r="BT35" s="10" t="s">
        <v>160</v>
      </c>
      <c r="BU35" s="10">
        <v>7.0099999999999996E-2</v>
      </c>
      <c r="BV35" s="10">
        <v>6.5199999999999994E-2</v>
      </c>
      <c r="BW35" s="10">
        <v>5.9700000000000003E-2</v>
      </c>
      <c r="BX35" s="10">
        <v>5.9900000000000002E-2</v>
      </c>
      <c r="BY35" s="10">
        <v>6.6900000000000001E-2</v>
      </c>
      <c r="BZ35" s="10">
        <v>5.96E-2</v>
      </c>
    </row>
    <row r="36" spans="1:78" x14ac:dyDescent="0.3">
      <c r="A36" s="13" t="s">
        <v>187</v>
      </c>
      <c r="B36" s="1">
        <v>6.4500000000000002E-2</v>
      </c>
      <c r="C36" s="1">
        <v>0</v>
      </c>
      <c r="D36" s="1">
        <v>0</v>
      </c>
      <c r="E36" s="1">
        <v>7.0499999999999993E-2</v>
      </c>
      <c r="F36" s="1">
        <v>6.4899999999999999E-2</v>
      </c>
      <c r="G36" s="1">
        <v>6.1800000000000001E-2</v>
      </c>
      <c r="H36" s="1">
        <v>6.4100000000000004E-2</v>
      </c>
      <c r="I36" s="1">
        <v>0.06</v>
      </c>
      <c r="J36" s="1">
        <v>0</v>
      </c>
      <c r="K36" s="1">
        <v>0</v>
      </c>
      <c r="L36" s="1">
        <v>6.2E-2</v>
      </c>
      <c r="M36" s="1">
        <v>0</v>
      </c>
      <c r="N36" s="1">
        <v>5.9900000000000002E-2</v>
      </c>
      <c r="O36" s="1">
        <v>6.3500000000000001E-2</v>
      </c>
      <c r="P36" s="1">
        <v>6.2600000000000003E-2</v>
      </c>
      <c r="Q36" s="1">
        <v>6.2899999999999998E-2</v>
      </c>
      <c r="R36" s="1">
        <v>6.3299999999999995E-2</v>
      </c>
      <c r="S36" s="1">
        <v>0</v>
      </c>
      <c r="T36" s="1">
        <v>6.7199999999999996E-2</v>
      </c>
      <c r="U36" s="1">
        <v>0</v>
      </c>
      <c r="V36" s="1">
        <v>0</v>
      </c>
      <c r="W36" s="1">
        <v>6.4199999999999993E-2</v>
      </c>
      <c r="X36" s="1">
        <v>6.0900000000000003E-2</v>
      </c>
      <c r="Y36" s="1">
        <v>0</v>
      </c>
      <c r="Z36" s="1">
        <v>6.8900000000000003E-2</v>
      </c>
      <c r="AA36" s="1">
        <v>0</v>
      </c>
      <c r="AB36" s="1">
        <v>0</v>
      </c>
      <c r="AC36" s="1">
        <v>6.4000000000000001E-2</v>
      </c>
      <c r="AD36" s="1">
        <v>7.2400000000000006E-2</v>
      </c>
      <c r="AE36" s="1">
        <v>0</v>
      </c>
      <c r="AF36" s="1">
        <v>6.4600000000000005E-2</v>
      </c>
      <c r="AG36" s="1">
        <v>6.7599999999999993E-2</v>
      </c>
      <c r="AH36" s="1">
        <v>6.1699999999999998E-2</v>
      </c>
      <c r="AI36" s="1">
        <v>6.9900000000000004E-2</v>
      </c>
      <c r="AJ36" s="1">
        <v>0</v>
      </c>
      <c r="AK36" s="1">
        <v>0</v>
      </c>
      <c r="AL36" s="1">
        <v>6.1899999999999997E-2</v>
      </c>
      <c r="AM36" s="1">
        <v>0</v>
      </c>
      <c r="AN36" s="1">
        <v>6.1699999999999998E-2</v>
      </c>
      <c r="AO36" s="1">
        <v>0</v>
      </c>
      <c r="AP36" s="1">
        <v>0</v>
      </c>
      <c r="AQ36" s="1">
        <v>6.4399999999999999E-2</v>
      </c>
      <c r="AR36" s="1">
        <v>0</v>
      </c>
      <c r="AS36" s="1">
        <v>0</v>
      </c>
      <c r="AT36" s="1">
        <v>6.4100000000000004E-2</v>
      </c>
      <c r="AU36" s="1">
        <v>0</v>
      </c>
      <c r="AV36" s="1">
        <v>0</v>
      </c>
      <c r="AW36" s="1">
        <v>0</v>
      </c>
      <c r="AX36" s="1">
        <v>6.3100000000000003E-2</v>
      </c>
      <c r="AY36" s="1">
        <v>6.3600000000000004E-2</v>
      </c>
      <c r="AZ36" s="1">
        <v>7.0000000000000007E-2</v>
      </c>
      <c r="BA36" s="1">
        <v>7.3499999999999996E-2</v>
      </c>
      <c r="BB36" s="1">
        <v>7.1900000000000006E-2</v>
      </c>
      <c r="BC36" s="1">
        <v>0</v>
      </c>
      <c r="BD36" s="1">
        <v>0</v>
      </c>
      <c r="BE36" s="1">
        <v>6.0999999999999999E-2</v>
      </c>
      <c r="BF36" s="1">
        <v>6.4899999999999999E-2</v>
      </c>
      <c r="BG36" s="1">
        <v>6.3600000000000004E-2</v>
      </c>
      <c r="BH36" s="1">
        <v>0</v>
      </c>
      <c r="BI36" s="1">
        <v>6.6100000000000006E-2</v>
      </c>
      <c r="BJ36" s="1">
        <v>0</v>
      </c>
      <c r="BK36" s="1">
        <v>0</v>
      </c>
      <c r="BL36" s="1">
        <v>0</v>
      </c>
      <c r="BM36" s="1">
        <v>6.25E-2</v>
      </c>
      <c r="BN36" s="10">
        <v>0</v>
      </c>
      <c r="BO36" s="10">
        <v>6.4000000000000001E-2</v>
      </c>
      <c r="BP36" s="10">
        <v>0</v>
      </c>
      <c r="BQ36" s="10">
        <v>0</v>
      </c>
      <c r="BR36" s="10">
        <v>0</v>
      </c>
      <c r="BS36" s="10">
        <v>0</v>
      </c>
      <c r="BT36" s="10">
        <v>6.13E-2</v>
      </c>
      <c r="BU36" s="10">
        <v>8.1500000000000003E-2</v>
      </c>
      <c r="BV36" s="10">
        <v>0</v>
      </c>
      <c r="BW36" s="10">
        <v>0</v>
      </c>
      <c r="BX36" s="10">
        <v>0</v>
      </c>
      <c r="BY36" s="10">
        <v>8.0600000000000005E-2</v>
      </c>
      <c r="BZ36" s="10">
        <v>6.3100000000000003E-2</v>
      </c>
    </row>
    <row r="37" spans="1:78" x14ac:dyDescent="0.3">
      <c r="A37" s="13" t="s">
        <v>0</v>
      </c>
      <c r="B37" s="1">
        <v>0.26450000000000001</v>
      </c>
      <c r="C37" s="1">
        <v>0.29509999999999997</v>
      </c>
      <c r="D37" s="1" t="s">
        <v>160</v>
      </c>
      <c r="E37" s="1">
        <v>0.33979999999999999</v>
      </c>
      <c r="F37" s="1">
        <v>0.33100000000000002</v>
      </c>
      <c r="G37" s="1">
        <v>0</v>
      </c>
      <c r="H37" s="1">
        <v>0</v>
      </c>
      <c r="I37" s="1">
        <v>0.50149999999999995</v>
      </c>
      <c r="J37" s="1">
        <v>0</v>
      </c>
      <c r="K37" s="1">
        <v>0.23830000000000001</v>
      </c>
      <c r="L37" s="1">
        <v>0</v>
      </c>
      <c r="M37" s="1">
        <v>0.34</v>
      </c>
      <c r="N37" s="1">
        <v>0.35980000000000001</v>
      </c>
      <c r="O37" s="1" t="s">
        <v>160</v>
      </c>
      <c r="P37" s="1">
        <v>0.2858</v>
      </c>
      <c r="Q37" s="1">
        <v>0</v>
      </c>
      <c r="R37" s="1">
        <v>0.25419999999999998</v>
      </c>
      <c r="S37" s="1">
        <v>0.28649999999999998</v>
      </c>
      <c r="T37" s="1">
        <v>0.35870000000000002</v>
      </c>
      <c r="U37" s="1">
        <v>0.2843</v>
      </c>
      <c r="V37" s="1">
        <v>0.30919999999999997</v>
      </c>
      <c r="W37" s="1">
        <v>0.26550000000000001</v>
      </c>
      <c r="X37" s="1">
        <v>0</v>
      </c>
      <c r="Y37" s="1">
        <v>0.37790000000000001</v>
      </c>
      <c r="Z37" s="1">
        <v>0.31269999999999998</v>
      </c>
      <c r="AA37" s="1">
        <v>0.30009999999999998</v>
      </c>
      <c r="AB37" s="1">
        <v>0</v>
      </c>
      <c r="AC37" s="1">
        <v>0.3503</v>
      </c>
      <c r="AD37" s="1">
        <v>0.34350000000000003</v>
      </c>
      <c r="AE37" s="1">
        <v>0.375</v>
      </c>
      <c r="AF37" s="1">
        <v>0.2286</v>
      </c>
      <c r="AG37" s="1">
        <v>0.31080000000000002</v>
      </c>
      <c r="AH37" s="1">
        <v>0.2792</v>
      </c>
      <c r="AI37" s="1">
        <v>0.32390000000000002</v>
      </c>
      <c r="AJ37" s="1">
        <v>0.64019999999999999</v>
      </c>
      <c r="AK37" s="1">
        <v>0.57599999999999996</v>
      </c>
      <c r="AL37" s="1">
        <v>0.55989999999999995</v>
      </c>
      <c r="AM37" s="1">
        <v>0.58279999999999998</v>
      </c>
      <c r="AN37" s="1">
        <v>0.61150000000000004</v>
      </c>
      <c r="AO37" s="1">
        <v>0.57689999999999997</v>
      </c>
      <c r="AP37" s="1">
        <v>0.2883</v>
      </c>
      <c r="AQ37" s="1">
        <v>0</v>
      </c>
      <c r="AR37" s="1">
        <v>0.3322</v>
      </c>
      <c r="AS37" s="1">
        <v>0.2858</v>
      </c>
      <c r="AT37" s="1">
        <v>0.32250000000000001</v>
      </c>
      <c r="AU37" s="1">
        <v>0.2959</v>
      </c>
      <c r="AV37" s="1">
        <v>0.3261</v>
      </c>
      <c r="AW37" s="1">
        <v>0.34089999999999998</v>
      </c>
      <c r="AX37" s="1">
        <v>0.57940000000000003</v>
      </c>
      <c r="AY37" s="1">
        <v>0.53280000000000005</v>
      </c>
      <c r="AZ37" s="1">
        <v>0.27039999999999997</v>
      </c>
      <c r="BA37" s="1">
        <v>0.2727</v>
      </c>
      <c r="BB37" s="1">
        <v>0.23280000000000001</v>
      </c>
      <c r="BC37" s="1">
        <v>0.28420000000000001</v>
      </c>
      <c r="BD37" s="1">
        <v>0.27050000000000002</v>
      </c>
      <c r="BE37" s="1">
        <v>0</v>
      </c>
      <c r="BF37" s="1">
        <v>0.26800000000000002</v>
      </c>
      <c r="BG37" s="1">
        <v>0.61319999999999997</v>
      </c>
      <c r="BH37" s="1">
        <v>0.32619999999999999</v>
      </c>
      <c r="BI37" s="1">
        <v>0.31359999999999999</v>
      </c>
      <c r="BJ37" s="1">
        <v>0.37</v>
      </c>
      <c r="BK37" s="1">
        <v>0.28029999999999999</v>
      </c>
      <c r="BL37" s="1">
        <v>0.29980000000000001</v>
      </c>
      <c r="BM37" s="1">
        <v>0.27610000000000001</v>
      </c>
      <c r="BN37" s="10">
        <v>0.33489999999999998</v>
      </c>
      <c r="BO37" s="10">
        <v>0.36230000000000001</v>
      </c>
      <c r="BP37" s="10">
        <v>0.39839999999999998</v>
      </c>
      <c r="BQ37" s="10">
        <v>0.2591</v>
      </c>
      <c r="BR37" s="10">
        <v>0.32240000000000002</v>
      </c>
      <c r="BS37" s="10">
        <v>0.35189999999999999</v>
      </c>
      <c r="BT37" s="10">
        <v>0.2747</v>
      </c>
      <c r="BU37" s="10">
        <v>0.25469999999999998</v>
      </c>
      <c r="BV37" s="10">
        <v>0.31430000000000002</v>
      </c>
      <c r="BW37" s="10">
        <v>0.67649999999999999</v>
      </c>
      <c r="BX37" s="10">
        <v>0.5887</v>
      </c>
      <c r="BY37" s="10">
        <v>0.2424</v>
      </c>
      <c r="BZ37" s="10">
        <v>0.34939999999999999</v>
      </c>
    </row>
    <row r="38" spans="1:78" x14ac:dyDescent="0.3">
      <c r="A38" s="15" t="s">
        <v>1</v>
      </c>
      <c r="B38" s="9">
        <v>1.1299999999999999E-2</v>
      </c>
      <c r="C38" s="9">
        <v>1.2E-2</v>
      </c>
      <c r="D38" s="9">
        <v>1.2800000000000001E-2</v>
      </c>
      <c r="E38" s="9">
        <v>1.4E-2</v>
      </c>
      <c r="F38" s="9">
        <v>1.2200000000000001E-2</v>
      </c>
      <c r="G38" s="9">
        <v>0</v>
      </c>
      <c r="H38" s="9">
        <v>1.21E-2</v>
      </c>
      <c r="I38" s="9">
        <v>0</v>
      </c>
      <c r="J38" s="9">
        <v>1.26E-2</v>
      </c>
      <c r="K38" s="9">
        <v>1.12E-2</v>
      </c>
      <c r="L38" s="9">
        <v>1.23E-2</v>
      </c>
      <c r="M38" s="9">
        <v>1.3599999999999999E-2</v>
      </c>
      <c r="N38" s="9">
        <v>1.12E-2</v>
      </c>
      <c r="O38" s="9">
        <v>0</v>
      </c>
      <c r="P38" s="9">
        <v>1.0999999999999999E-2</v>
      </c>
      <c r="Q38" s="9">
        <v>0</v>
      </c>
      <c r="R38" s="9">
        <v>0</v>
      </c>
      <c r="S38" s="9">
        <v>1.24E-2</v>
      </c>
      <c r="T38" s="9">
        <v>1.2500000000000001E-2</v>
      </c>
      <c r="U38" s="9">
        <v>1.2800000000000001E-2</v>
      </c>
      <c r="V38" s="9">
        <v>1.2999999999999999E-2</v>
      </c>
      <c r="W38" s="9">
        <v>1.17E-2</v>
      </c>
      <c r="X38" s="9">
        <v>1.24E-2</v>
      </c>
      <c r="Y38" s="9">
        <v>1.2E-2</v>
      </c>
      <c r="Z38" s="9">
        <v>1.43E-2</v>
      </c>
      <c r="AA38" s="9">
        <v>1.2E-2</v>
      </c>
      <c r="AB38" s="9">
        <v>1.2E-2</v>
      </c>
      <c r="AC38" s="9">
        <v>1.34E-2</v>
      </c>
      <c r="AD38" s="9">
        <v>1.38E-2</v>
      </c>
      <c r="AE38" s="9">
        <v>1.2699999999999999E-2</v>
      </c>
      <c r="AF38" s="9">
        <v>0</v>
      </c>
      <c r="AG38" s="9">
        <v>1.3599999999999999E-2</v>
      </c>
      <c r="AH38" s="9">
        <v>1.12E-2</v>
      </c>
      <c r="AI38" s="9">
        <v>1.34E-2</v>
      </c>
      <c r="AJ38" s="9">
        <v>1.15E-2</v>
      </c>
      <c r="AK38" s="9">
        <v>1.12E-2</v>
      </c>
      <c r="AL38" s="9">
        <v>1.15E-2</v>
      </c>
      <c r="AM38" s="9">
        <v>1.1900000000000001E-2</v>
      </c>
      <c r="AN38" s="9">
        <v>1.18E-2</v>
      </c>
      <c r="AO38" s="9">
        <v>1.12E-2</v>
      </c>
      <c r="AP38" s="9">
        <v>1.3100000000000001E-2</v>
      </c>
      <c r="AQ38" s="9">
        <v>1.21E-2</v>
      </c>
      <c r="AR38" s="9">
        <v>1.21E-2</v>
      </c>
      <c r="AS38" s="9">
        <v>1.17E-2</v>
      </c>
      <c r="AT38" s="9">
        <v>1.2699999999999999E-2</v>
      </c>
      <c r="AU38" s="9">
        <v>1.17E-2</v>
      </c>
      <c r="AV38" s="9">
        <v>1.26E-2</v>
      </c>
      <c r="AW38" s="9">
        <v>1.24E-2</v>
      </c>
      <c r="AX38" s="9">
        <v>1.18E-2</v>
      </c>
      <c r="AY38" s="9">
        <v>1.15E-2</v>
      </c>
      <c r="AZ38" s="9">
        <v>1.37E-2</v>
      </c>
      <c r="BA38" s="9">
        <v>1.3899999999999999E-2</v>
      </c>
      <c r="BB38" s="9">
        <v>1.4E-2</v>
      </c>
      <c r="BC38" s="9">
        <v>1.4E-2</v>
      </c>
      <c r="BD38" s="9">
        <v>1.2800000000000001E-2</v>
      </c>
      <c r="BE38" s="9">
        <v>1.2500000000000001E-2</v>
      </c>
      <c r="BF38" s="9">
        <v>1.2200000000000001E-2</v>
      </c>
      <c r="BG38" s="9">
        <v>1.1599999999999999E-2</v>
      </c>
      <c r="BH38" s="9">
        <v>1.2699999999999999E-2</v>
      </c>
      <c r="BI38" s="9">
        <v>1.2500000000000001E-2</v>
      </c>
      <c r="BJ38" s="9">
        <v>1.24E-2</v>
      </c>
      <c r="BK38" s="9">
        <v>1.4200000000000001E-2</v>
      </c>
      <c r="BL38" s="9">
        <v>1.3599999999999999E-2</v>
      </c>
      <c r="BM38" s="9">
        <v>1.3299999999999999E-2</v>
      </c>
      <c r="BN38" s="11">
        <v>1.3100000000000001E-2</v>
      </c>
      <c r="BO38" s="11">
        <v>1.1599999999999999E-2</v>
      </c>
      <c r="BP38" s="11">
        <v>0</v>
      </c>
      <c r="BQ38" s="11">
        <v>1.37E-2</v>
      </c>
      <c r="BR38" s="11">
        <v>1.4E-2</v>
      </c>
      <c r="BS38" s="11">
        <v>1.2999999999999999E-2</v>
      </c>
      <c r="BT38" s="11">
        <v>1.3100000000000001E-2</v>
      </c>
      <c r="BU38" s="11">
        <v>0</v>
      </c>
      <c r="BV38" s="11">
        <v>0</v>
      </c>
      <c r="BW38" s="11">
        <v>1.14E-2</v>
      </c>
      <c r="BX38" s="11">
        <v>1.11E-2</v>
      </c>
      <c r="BY38" s="11">
        <v>1.3899999999999999E-2</v>
      </c>
      <c r="BZ38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444E-5A34-4812-A7D7-A9D83B7AD2EE}">
  <dimension ref="A1:AN38"/>
  <sheetViews>
    <sheetView showGridLines="0" workbookViewId="0"/>
  </sheetViews>
  <sheetFormatPr baseColWidth="10" defaultRowHeight="14.4" x14ac:dyDescent="0.3"/>
  <sheetData>
    <row r="1" spans="1:40" s="32" customFormat="1" x14ac:dyDescent="0.3">
      <c r="A1" s="32" t="s">
        <v>882</v>
      </c>
    </row>
    <row r="5" spans="1:40" x14ac:dyDescent="0.3"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19" t="s">
        <v>16</v>
      </c>
      <c r="Q5" s="19" t="s">
        <v>17</v>
      </c>
      <c r="R5" s="19" t="s">
        <v>18</v>
      </c>
      <c r="S5" s="19" t="s">
        <v>19</v>
      </c>
      <c r="T5" s="19" t="s">
        <v>20</v>
      </c>
      <c r="U5" s="19" t="s">
        <v>21</v>
      </c>
      <c r="V5" s="19" t="s">
        <v>22</v>
      </c>
      <c r="W5" s="19" t="s">
        <v>23</v>
      </c>
      <c r="X5" s="19" t="s">
        <v>24</v>
      </c>
      <c r="Y5" s="19" t="s">
        <v>25</v>
      </c>
      <c r="Z5" s="19" t="s">
        <v>26</v>
      </c>
      <c r="AA5" s="19" t="s">
        <v>27</v>
      </c>
      <c r="AB5" s="19" t="s">
        <v>28</v>
      </c>
      <c r="AC5" s="6" t="s">
        <v>29</v>
      </c>
      <c r="AD5" s="6" t="s">
        <v>30</v>
      </c>
      <c r="AE5" s="19" t="s">
        <v>31</v>
      </c>
      <c r="AF5" s="19" t="s">
        <v>32</v>
      </c>
      <c r="AG5" s="19" t="s">
        <v>33</v>
      </c>
      <c r="AH5" s="19" t="s">
        <v>34</v>
      </c>
      <c r="AI5" s="19" t="s">
        <v>35</v>
      </c>
      <c r="AJ5" s="19" t="s">
        <v>36</v>
      </c>
      <c r="AK5" s="19" t="s">
        <v>37</v>
      </c>
      <c r="AL5" s="19" t="s">
        <v>38</v>
      </c>
      <c r="AM5" s="19" t="s">
        <v>39</v>
      </c>
      <c r="AN5" s="19" t="s">
        <v>40</v>
      </c>
    </row>
    <row r="6" spans="1:40" x14ac:dyDescent="0.3">
      <c r="B6" s="21" t="s">
        <v>485</v>
      </c>
      <c r="C6" s="21" t="s">
        <v>486</v>
      </c>
      <c r="D6" s="21" t="s">
        <v>487</v>
      </c>
      <c r="E6" s="21" t="s">
        <v>488</v>
      </c>
      <c r="F6" s="21" t="s">
        <v>489</v>
      </c>
      <c r="G6" s="21" t="s">
        <v>490</v>
      </c>
      <c r="H6" s="21" t="s">
        <v>491</v>
      </c>
      <c r="I6" s="21" t="s">
        <v>492</v>
      </c>
      <c r="J6" s="21" t="s">
        <v>493</v>
      </c>
      <c r="K6" s="21" t="s">
        <v>494</v>
      </c>
      <c r="L6" s="21" t="s">
        <v>495</v>
      </c>
      <c r="M6" s="21" t="s">
        <v>496</v>
      </c>
      <c r="N6" s="21" t="s">
        <v>497</v>
      </c>
      <c r="O6" s="21" t="s">
        <v>498</v>
      </c>
      <c r="P6" s="21" t="s">
        <v>499</v>
      </c>
      <c r="Q6" s="21" t="s">
        <v>500</v>
      </c>
      <c r="R6" s="21" t="s">
        <v>501</v>
      </c>
      <c r="S6" s="21" t="s">
        <v>502</v>
      </c>
      <c r="T6" s="21" t="s">
        <v>503</v>
      </c>
      <c r="U6" s="21" t="s">
        <v>504</v>
      </c>
      <c r="V6" s="21" t="s">
        <v>505</v>
      </c>
      <c r="W6" s="21" t="s">
        <v>506</v>
      </c>
      <c r="X6" s="21" t="s">
        <v>507</v>
      </c>
      <c r="Y6" s="21" t="s">
        <v>508</v>
      </c>
      <c r="Z6" s="21" t="s">
        <v>509</v>
      </c>
      <c r="AA6" s="20" t="s">
        <v>510</v>
      </c>
      <c r="AB6" s="20" t="s">
        <v>511</v>
      </c>
      <c r="AC6" s="20" t="s">
        <v>512</v>
      </c>
      <c r="AD6" s="20" t="s">
        <v>513</v>
      </c>
      <c r="AE6" s="20" t="s">
        <v>514</v>
      </c>
      <c r="AF6" s="20" t="s">
        <v>515</v>
      </c>
      <c r="AG6" s="20" t="s">
        <v>516</v>
      </c>
      <c r="AH6" s="20" t="s">
        <v>517</v>
      </c>
      <c r="AI6" s="20" t="s">
        <v>518</v>
      </c>
      <c r="AJ6" s="20" t="s">
        <v>519</v>
      </c>
      <c r="AK6" s="20" t="s">
        <v>520</v>
      </c>
      <c r="AL6" s="20" t="s">
        <v>521</v>
      </c>
      <c r="AM6" s="20" t="s">
        <v>522</v>
      </c>
      <c r="AN6" s="20" t="s">
        <v>523</v>
      </c>
    </row>
    <row r="7" spans="1:40" x14ac:dyDescent="0.3">
      <c r="A7" s="16" t="s">
        <v>161</v>
      </c>
      <c r="B7" s="10">
        <f>0.0154</f>
        <v>1.54E-2</v>
      </c>
      <c r="C7" s="10">
        <f>0.0155</f>
        <v>1.55E-2</v>
      </c>
      <c r="D7" s="10">
        <f>0.0143</f>
        <v>1.43E-2</v>
      </c>
      <c r="E7" s="10">
        <f>0.0146</f>
        <v>1.46E-2</v>
      </c>
      <c r="F7" s="10">
        <f>0.0149</f>
        <v>1.49E-2</v>
      </c>
      <c r="G7" s="10">
        <f>0.0157</f>
        <v>1.5699999999999999E-2</v>
      </c>
      <c r="H7" s="10">
        <f>0.0152</f>
        <v>1.52E-2</v>
      </c>
      <c r="I7" s="10">
        <v>1.5699999999999999E-2</v>
      </c>
      <c r="J7" s="10">
        <v>1.5299999999999999E-2</v>
      </c>
      <c r="K7" s="10">
        <v>1.3599999999999999E-2</v>
      </c>
      <c r="L7" s="10">
        <v>1.44E-2</v>
      </c>
      <c r="M7" s="10">
        <f>0.0144</f>
        <v>1.44E-2</v>
      </c>
      <c r="N7" s="10">
        <v>1.43E-2</v>
      </c>
      <c r="O7" s="10">
        <f>0.0151</f>
        <v>1.5100000000000001E-2</v>
      </c>
      <c r="P7" s="10">
        <v>1.4800000000000001E-2</v>
      </c>
      <c r="Q7" s="10">
        <v>1.4500000000000001E-2</v>
      </c>
      <c r="R7" s="10">
        <f>0.0152</f>
        <v>1.52E-2</v>
      </c>
      <c r="S7" s="10">
        <f>0.0156</f>
        <v>1.5599999999999999E-2</v>
      </c>
      <c r="T7" s="10">
        <f>0.0155</f>
        <v>1.55E-2</v>
      </c>
      <c r="U7" s="10">
        <f>0.0149</f>
        <v>1.49E-2</v>
      </c>
      <c r="V7" s="10">
        <f>0.015</f>
        <v>1.4999999999999999E-2</v>
      </c>
      <c r="W7" s="10">
        <f>0.0143</f>
        <v>1.43E-2</v>
      </c>
      <c r="X7" s="10">
        <f>0.0145</f>
        <v>1.4500000000000001E-2</v>
      </c>
      <c r="Y7" s="10">
        <f>0.0151</f>
        <v>1.5100000000000001E-2</v>
      </c>
      <c r="Z7" s="10">
        <f>0.0151</f>
        <v>1.5100000000000001E-2</v>
      </c>
      <c r="AA7" s="10">
        <f>0.0157</f>
        <v>1.5699999999999999E-2</v>
      </c>
      <c r="AB7" s="10">
        <f>0.0145</f>
        <v>1.4500000000000001E-2</v>
      </c>
      <c r="AC7" s="10">
        <f>0.0157</f>
        <v>1.5699999999999999E-2</v>
      </c>
      <c r="AD7" s="10">
        <f>0</f>
        <v>0</v>
      </c>
      <c r="AE7" s="10">
        <f>0</f>
        <v>0</v>
      </c>
      <c r="AF7" s="10">
        <f>0.0157</f>
        <v>1.5699999999999999E-2</v>
      </c>
      <c r="AG7" s="10">
        <f>0.0155</f>
        <v>1.55E-2</v>
      </c>
      <c r="AH7" s="10">
        <f>0.0161</f>
        <v>1.61E-2</v>
      </c>
      <c r="AI7" s="10">
        <f>0.156</f>
        <v>0.156</v>
      </c>
      <c r="AJ7" s="10">
        <f>0.0143</f>
        <v>1.43E-2</v>
      </c>
      <c r="AK7" s="10">
        <f>0.0157</f>
        <v>1.5699999999999999E-2</v>
      </c>
      <c r="AL7" s="10">
        <f>0.016</f>
        <v>1.6E-2</v>
      </c>
      <c r="AM7" s="10">
        <f>0.0158</f>
        <v>1.5800000000000002E-2</v>
      </c>
      <c r="AN7" s="10">
        <f>0.0155</f>
        <v>1.55E-2</v>
      </c>
    </row>
    <row r="8" spans="1:40" x14ac:dyDescent="0.3">
      <c r="A8" s="13" t="s">
        <v>162</v>
      </c>
      <c r="B8" s="10">
        <f>0</f>
        <v>0</v>
      </c>
      <c r="C8" s="10">
        <f>0</f>
        <v>0</v>
      </c>
      <c r="D8" s="10">
        <f>0.0162</f>
        <v>1.6199999999999999E-2</v>
      </c>
      <c r="E8" s="10">
        <f>0.0163</f>
        <v>1.6299999999999999E-2</v>
      </c>
      <c r="F8" s="10">
        <f>0.0188</f>
        <v>1.8800000000000001E-2</v>
      </c>
      <c r="G8" s="10">
        <f>0</f>
        <v>0</v>
      </c>
      <c r="H8" s="10">
        <f>0</f>
        <v>0</v>
      </c>
      <c r="I8" s="10">
        <f>0</f>
        <v>0</v>
      </c>
      <c r="J8" s="10">
        <f>0</f>
        <v>0</v>
      </c>
      <c r="K8" s="10">
        <f>0.016</f>
        <v>1.6E-2</v>
      </c>
      <c r="L8" s="10">
        <v>1.67E-2</v>
      </c>
      <c r="M8" s="10">
        <v>1.46E-2</v>
      </c>
      <c r="N8" s="10">
        <f>0.0137</f>
        <v>1.37E-2</v>
      </c>
      <c r="O8" s="10">
        <f>0.0142</f>
        <v>1.4200000000000001E-2</v>
      </c>
      <c r="P8" s="10">
        <f>0.0145</f>
        <v>1.4500000000000001E-2</v>
      </c>
      <c r="Q8" s="10">
        <v>1.3599999999999999E-2</v>
      </c>
      <c r="R8" s="10">
        <f>0.0144</f>
        <v>1.44E-2</v>
      </c>
      <c r="S8" s="10">
        <f>0.02</f>
        <v>0.02</v>
      </c>
      <c r="T8" s="10">
        <f>0</f>
        <v>0</v>
      </c>
      <c r="U8" s="10">
        <f>0</f>
        <v>0</v>
      </c>
      <c r="V8" s="10">
        <f>0.0142</f>
        <v>1.4200000000000001E-2</v>
      </c>
      <c r="W8" s="10">
        <f>0.0139</f>
        <v>1.3899999999999999E-2</v>
      </c>
      <c r="X8" s="10">
        <f>0</f>
        <v>0</v>
      </c>
      <c r="Y8" s="10">
        <f>0.0146</f>
        <v>1.46E-2</v>
      </c>
      <c r="Z8" s="10">
        <f>0</f>
        <v>0</v>
      </c>
      <c r="AA8" s="10">
        <f>0</f>
        <v>0</v>
      </c>
      <c r="AB8" s="10">
        <f>0.0168</f>
        <v>1.6799999999999999E-2</v>
      </c>
      <c r="AC8" s="10">
        <f>0</f>
        <v>0</v>
      </c>
      <c r="AD8" s="10">
        <f>0.0191</f>
        <v>1.9099999999999999E-2</v>
      </c>
      <c r="AE8" s="10">
        <f>0.0188</f>
        <v>1.8800000000000001E-2</v>
      </c>
      <c r="AF8" s="10">
        <f>0</f>
        <v>0</v>
      </c>
      <c r="AG8" s="10">
        <f>0.0184</f>
        <v>1.84E-2</v>
      </c>
      <c r="AH8" s="10">
        <f>0</f>
        <v>0</v>
      </c>
      <c r="AI8" s="10">
        <f>0</f>
        <v>0</v>
      </c>
      <c r="AJ8" s="10">
        <f>0</f>
        <v>0</v>
      </c>
      <c r="AK8" s="10">
        <f>0</f>
        <v>0</v>
      </c>
      <c r="AL8" s="10">
        <f>0</f>
        <v>0</v>
      </c>
      <c r="AM8" s="10">
        <f>0</f>
        <v>0</v>
      </c>
      <c r="AN8" s="10">
        <f>0.0185</f>
        <v>1.8499999999999999E-2</v>
      </c>
    </row>
    <row r="9" spans="1:40" x14ac:dyDescent="0.3">
      <c r="A9" s="13" t="s">
        <v>163</v>
      </c>
      <c r="B9" s="10">
        <f>0.0148</f>
        <v>1.4800000000000001E-2</v>
      </c>
      <c r="C9" s="10">
        <f>0</f>
        <v>0</v>
      </c>
      <c r="D9" s="10">
        <f>0.013</f>
        <v>1.2999999999999999E-2</v>
      </c>
      <c r="E9" s="10">
        <f>0.0127</f>
        <v>1.2699999999999999E-2</v>
      </c>
      <c r="F9" s="10">
        <f>0.0141</f>
        <v>1.41E-2</v>
      </c>
      <c r="G9" s="10">
        <f>0.0152</f>
        <v>1.52E-2</v>
      </c>
      <c r="H9" s="10">
        <f>0</f>
        <v>0</v>
      </c>
      <c r="I9" s="10">
        <f>0</f>
        <v>0</v>
      </c>
      <c r="J9" s="10">
        <f>0</f>
        <v>0</v>
      </c>
      <c r="K9" s="10">
        <f>0.0126</f>
        <v>1.26E-2</v>
      </c>
      <c r="L9" s="10">
        <v>1.24E-2</v>
      </c>
      <c r="M9" s="10">
        <f>0</f>
        <v>0</v>
      </c>
      <c r="N9" s="10">
        <f>0.0106</f>
        <v>1.06E-2</v>
      </c>
      <c r="O9" s="10">
        <v>1.1599999999999999E-2</v>
      </c>
      <c r="P9" s="10">
        <f>0.0114</f>
        <v>1.14E-2</v>
      </c>
      <c r="Q9" s="10">
        <v>0</v>
      </c>
      <c r="R9" s="10">
        <f>0.0113</f>
        <v>1.1299999999999999E-2</v>
      </c>
      <c r="S9" s="10">
        <f>0.0154</f>
        <v>1.54E-2</v>
      </c>
      <c r="T9" s="10">
        <f>0</f>
        <v>0</v>
      </c>
      <c r="U9" s="10">
        <f>0.0112</f>
        <v>1.12E-2</v>
      </c>
      <c r="V9" s="10">
        <f>0.0115</f>
        <v>1.15E-2</v>
      </c>
      <c r="W9" s="10">
        <f>0.0109</f>
        <v>1.09E-2</v>
      </c>
      <c r="X9" s="10">
        <f>0.0106</f>
        <v>1.06E-2</v>
      </c>
      <c r="Y9" s="10">
        <f>0.0113</f>
        <v>1.1299999999999999E-2</v>
      </c>
      <c r="Z9" s="10">
        <f>0.0114</f>
        <v>1.14E-2</v>
      </c>
      <c r="AA9" s="10">
        <f>0</f>
        <v>0</v>
      </c>
      <c r="AB9" s="10">
        <f>0.0124</f>
        <v>1.24E-2</v>
      </c>
      <c r="AC9" s="10">
        <f>0</f>
        <v>0</v>
      </c>
      <c r="AD9" s="10">
        <f>0</f>
        <v>0</v>
      </c>
      <c r="AE9" s="10">
        <f>0</f>
        <v>0</v>
      </c>
      <c r="AF9" s="10">
        <f>0</f>
        <v>0</v>
      </c>
      <c r="AG9" s="10">
        <f>0</f>
        <v>0</v>
      </c>
      <c r="AH9" s="10">
        <f>0</f>
        <v>0</v>
      </c>
      <c r="AI9" s="10">
        <f>0</f>
        <v>0</v>
      </c>
      <c r="AJ9" s="10">
        <f>0.015</f>
        <v>1.4999999999999999E-2</v>
      </c>
      <c r="AK9" s="10">
        <f>0</f>
        <v>0</v>
      </c>
      <c r="AL9" s="10">
        <f>0</f>
        <v>0</v>
      </c>
      <c r="AM9" s="10">
        <f>0</f>
        <v>0</v>
      </c>
      <c r="AN9" s="10">
        <f>0</f>
        <v>0</v>
      </c>
    </row>
    <row r="10" spans="1:40" x14ac:dyDescent="0.3">
      <c r="A10" s="13" t="s">
        <v>191</v>
      </c>
      <c r="B10" s="10">
        <f>0.0916</f>
        <v>9.1600000000000001E-2</v>
      </c>
      <c r="C10" s="10">
        <f>0.098</f>
        <v>9.8000000000000004E-2</v>
      </c>
      <c r="D10" s="10">
        <f>0.0909</f>
        <v>9.0899999999999995E-2</v>
      </c>
      <c r="E10" s="10">
        <f>0.0924</f>
        <v>9.2399999999999996E-2</v>
      </c>
      <c r="F10" s="10">
        <f>0.0956</f>
        <v>9.5600000000000004E-2</v>
      </c>
      <c r="G10" s="10">
        <f>0.1039</f>
        <v>0.10390000000000001</v>
      </c>
      <c r="H10" s="10">
        <f>0</f>
        <v>0</v>
      </c>
      <c r="I10" s="10">
        <f>0.0909</f>
        <v>9.0899999999999995E-2</v>
      </c>
      <c r="J10" s="10">
        <f>0</f>
        <v>0</v>
      </c>
      <c r="K10" s="10">
        <v>0.1016</v>
      </c>
      <c r="L10" s="10">
        <v>8.8200000000000001E-2</v>
      </c>
      <c r="M10" s="10">
        <f>0.0878</f>
        <v>8.7800000000000003E-2</v>
      </c>
      <c r="N10" s="10">
        <f>0.0875</f>
        <v>8.7499999999999994E-2</v>
      </c>
      <c r="O10" s="10">
        <f>0.0939</f>
        <v>9.3899999999999997E-2</v>
      </c>
      <c r="P10" s="10">
        <f>0.0938</f>
        <v>9.3799999999999994E-2</v>
      </c>
      <c r="Q10" s="10">
        <v>9.5600000000000004E-2</v>
      </c>
      <c r="R10" s="10">
        <f>0.0861</f>
        <v>8.6099999999999996E-2</v>
      </c>
      <c r="S10" s="10">
        <f>0.0934</f>
        <v>9.3399999999999997E-2</v>
      </c>
      <c r="T10" s="10">
        <f>0.0975</f>
        <v>9.7500000000000003E-2</v>
      </c>
      <c r="U10" s="10">
        <f>0.0948</f>
        <v>9.4799999999999995E-2</v>
      </c>
      <c r="V10" s="10">
        <f>0.0923</f>
        <v>9.2299999999999993E-2</v>
      </c>
      <c r="W10" s="10">
        <f>0.0971</f>
        <v>9.7100000000000006E-2</v>
      </c>
      <c r="X10" s="10">
        <f>0.094</f>
        <v>9.4E-2</v>
      </c>
      <c r="Y10" s="10">
        <f>0.0987</f>
        <v>9.8699999999999996E-2</v>
      </c>
      <c r="Z10" s="10">
        <f>0.0987</f>
        <v>9.8699999999999996E-2</v>
      </c>
      <c r="AA10" s="10">
        <f>0</f>
        <v>0</v>
      </c>
      <c r="AB10" s="10">
        <f>0.1008</f>
        <v>0.1008</v>
      </c>
      <c r="AC10" s="10">
        <f>0.0981</f>
        <v>9.8100000000000007E-2</v>
      </c>
      <c r="AD10" s="10">
        <f>0.1007</f>
        <v>0.1007</v>
      </c>
      <c r="AE10" s="10">
        <f>0.1021</f>
        <v>0.1021</v>
      </c>
      <c r="AF10" s="10">
        <f>0</f>
        <v>0</v>
      </c>
      <c r="AG10" s="10">
        <f>0.1007</f>
        <v>0.1007</v>
      </c>
      <c r="AH10" s="10">
        <f>0.0875</f>
        <v>8.7499999999999994E-2</v>
      </c>
      <c r="AI10" s="10">
        <f>0.0895</f>
        <v>8.9499999999999996E-2</v>
      </c>
      <c r="AJ10" s="10">
        <v>9.6600000000000005E-2</v>
      </c>
      <c r="AK10" s="10">
        <f>0</f>
        <v>0</v>
      </c>
      <c r="AL10" s="10">
        <f>0</f>
        <v>0</v>
      </c>
      <c r="AM10" s="10">
        <f>0</f>
        <v>0</v>
      </c>
      <c r="AN10" s="10">
        <f>0.1023</f>
        <v>0.1023</v>
      </c>
    </row>
    <row r="11" spans="1:40" x14ac:dyDescent="0.3">
      <c r="A11" s="13" t="s">
        <v>164</v>
      </c>
      <c r="B11" s="10">
        <f>0.0899</f>
        <v>8.9899999999999994E-2</v>
      </c>
      <c r="C11" s="10">
        <f>0.0901</f>
        <v>9.01E-2</v>
      </c>
      <c r="D11" s="10">
        <f>0.0837</f>
        <v>8.3699999999999997E-2</v>
      </c>
      <c r="E11" s="10">
        <f>0</f>
        <v>0</v>
      </c>
      <c r="F11" s="10">
        <f>0.0803</f>
        <v>8.0299999999999996E-2</v>
      </c>
      <c r="G11" s="10">
        <f>0.0888</f>
        <v>8.8800000000000004E-2</v>
      </c>
      <c r="H11" s="10">
        <f>0.0889</f>
        <v>8.8900000000000007E-2</v>
      </c>
      <c r="I11" s="10">
        <f>0.0997</f>
        <v>9.9699999999999997E-2</v>
      </c>
      <c r="J11" s="10">
        <f>0.0983</f>
        <v>9.8299999999999998E-2</v>
      </c>
      <c r="K11" s="10">
        <v>8.7599999999999997E-2</v>
      </c>
      <c r="L11" s="10">
        <f>0.0825</f>
        <v>8.2500000000000004E-2</v>
      </c>
      <c r="M11" s="10">
        <f>0.0833</f>
        <v>8.3299999999999999E-2</v>
      </c>
      <c r="N11" s="10">
        <f>0.0794</f>
        <v>7.9399999999999998E-2</v>
      </c>
      <c r="O11" s="10">
        <f>0.0857</f>
        <v>8.5699999999999998E-2</v>
      </c>
      <c r="P11" s="10">
        <f>0.0755</f>
        <v>7.5499999999999998E-2</v>
      </c>
      <c r="Q11" s="10">
        <v>8.1699999999999995E-2</v>
      </c>
      <c r="R11" s="10">
        <f>0.0792</f>
        <v>7.9200000000000007E-2</v>
      </c>
      <c r="S11" s="10">
        <f>0</f>
        <v>0</v>
      </c>
      <c r="T11" s="10">
        <f>0.0917</f>
        <v>9.1700000000000004E-2</v>
      </c>
      <c r="U11" s="10">
        <f>0.1039</f>
        <v>0.10390000000000001</v>
      </c>
      <c r="V11" s="10">
        <f>0.0875</f>
        <v>8.7499999999999994E-2</v>
      </c>
      <c r="W11" s="10">
        <f>0.0819</f>
        <v>8.1900000000000001E-2</v>
      </c>
      <c r="X11" s="10">
        <f>0.087</f>
        <v>8.6999999999999994E-2</v>
      </c>
      <c r="Y11" s="10">
        <f>0.0938</f>
        <v>9.3799999999999994E-2</v>
      </c>
      <c r="Z11" s="10">
        <f>0.0823</f>
        <v>8.2299999999999998E-2</v>
      </c>
      <c r="AA11" s="10">
        <f>0.0895</f>
        <v>8.9499999999999996E-2</v>
      </c>
      <c r="AB11" s="10">
        <f>0</f>
        <v>0</v>
      </c>
      <c r="AC11" s="10">
        <f>0</f>
        <v>0</v>
      </c>
      <c r="AD11" s="10">
        <f>0.0812</f>
        <v>8.1199999999999994E-2</v>
      </c>
      <c r="AE11" s="10">
        <f>0.0826</f>
        <v>8.2600000000000007E-2</v>
      </c>
      <c r="AF11" s="10">
        <f>0.0896</f>
        <v>8.9599999999999999E-2</v>
      </c>
      <c r="AG11" s="10">
        <f>0.0907</f>
        <v>9.0700000000000003E-2</v>
      </c>
      <c r="AH11" s="10">
        <f>0</f>
        <v>0</v>
      </c>
      <c r="AI11" s="10">
        <f>0.0814</f>
        <v>8.14E-2</v>
      </c>
      <c r="AJ11" s="10">
        <f>0.0797</f>
        <v>7.9699999999999993E-2</v>
      </c>
      <c r="AK11" s="10">
        <f>0.0899</f>
        <v>8.9899999999999994E-2</v>
      </c>
      <c r="AL11" s="10">
        <f>0.0942</f>
        <v>9.4200000000000006E-2</v>
      </c>
      <c r="AM11" s="10">
        <f>0.0893</f>
        <v>8.9300000000000004E-2</v>
      </c>
      <c r="AN11" s="10">
        <f>0.0849</f>
        <v>8.4900000000000003E-2</v>
      </c>
    </row>
    <row r="12" spans="1:40" x14ac:dyDescent="0.3">
      <c r="A12" s="13" t="s">
        <v>188</v>
      </c>
      <c r="B12" s="10">
        <f>0</f>
        <v>0</v>
      </c>
      <c r="C12" s="10" t="s">
        <v>160</v>
      </c>
      <c r="D12" s="10">
        <f>0.0157</f>
        <v>1.5699999999999999E-2</v>
      </c>
      <c r="E12" s="10">
        <f>0.0153</f>
        <v>1.5299999999999999E-2</v>
      </c>
      <c r="F12" s="10">
        <f>0.0168</f>
        <v>1.6799999999999999E-2</v>
      </c>
      <c r="G12" s="10">
        <f>0.0173</f>
        <v>1.7299999999999999E-2</v>
      </c>
      <c r="H12" s="10">
        <f>0</f>
        <v>0</v>
      </c>
      <c r="I12" s="10">
        <f>0</f>
        <v>0</v>
      </c>
      <c r="J12" s="10">
        <f>0</f>
        <v>0</v>
      </c>
      <c r="K12" s="10">
        <f>0.0148</f>
        <v>1.4800000000000001E-2</v>
      </c>
      <c r="L12" s="10">
        <v>1.5100000000000001E-2</v>
      </c>
      <c r="M12" s="10">
        <f>0.0146</f>
        <v>1.46E-2</v>
      </c>
      <c r="N12" s="10">
        <f>0.0132</f>
        <v>1.32E-2</v>
      </c>
      <c r="O12" s="10">
        <f>0.0126</f>
        <v>1.26E-2</v>
      </c>
      <c r="P12" s="10">
        <f>0.0131</f>
        <v>1.3100000000000001E-2</v>
      </c>
      <c r="Q12" s="10">
        <f>0.0133</f>
        <v>1.3299999999999999E-2</v>
      </c>
      <c r="R12" s="10">
        <f>0.014</f>
        <v>1.4E-2</v>
      </c>
      <c r="S12" s="10">
        <f>0.0175</f>
        <v>1.7500000000000002E-2</v>
      </c>
      <c r="T12" s="10">
        <f>0.0167</f>
        <v>1.67E-2</v>
      </c>
      <c r="U12" s="10">
        <f>0.0135</f>
        <v>1.35E-2</v>
      </c>
      <c r="V12" s="10">
        <f>0.0127</f>
        <v>1.2699999999999999E-2</v>
      </c>
      <c r="W12" s="10">
        <f>0.0129</f>
        <v>1.29E-2</v>
      </c>
      <c r="X12" s="10">
        <f>0.013</f>
        <v>1.2999999999999999E-2</v>
      </c>
      <c r="Y12" s="10">
        <f>0.0128</f>
        <v>1.2800000000000001E-2</v>
      </c>
      <c r="Z12" s="10">
        <f>0.013</f>
        <v>1.2999999999999999E-2</v>
      </c>
      <c r="AA12" s="10">
        <f>0</f>
        <v>0</v>
      </c>
      <c r="AB12" s="10">
        <f>0.016</f>
        <v>1.6E-2</v>
      </c>
      <c r="AC12" s="10">
        <f>0.0176</f>
        <v>1.7600000000000001E-2</v>
      </c>
      <c r="AD12" s="10">
        <f>0.0153</f>
        <v>1.5299999999999999E-2</v>
      </c>
      <c r="AE12" s="10">
        <f>0.0151</f>
        <v>1.5100000000000001E-2</v>
      </c>
      <c r="AF12" s="10">
        <f>0.0123</f>
        <v>1.23E-2</v>
      </c>
      <c r="AG12" s="10">
        <f>0.0142</f>
        <v>1.4200000000000001E-2</v>
      </c>
      <c r="AH12" s="10">
        <f>0.0119</f>
        <v>1.1900000000000001E-2</v>
      </c>
      <c r="AI12" s="10">
        <f>0.0126</f>
        <v>1.26E-2</v>
      </c>
      <c r="AJ12" s="10">
        <f>0.0175</f>
        <v>1.7500000000000002E-2</v>
      </c>
      <c r="AK12" s="10">
        <f>0</f>
        <v>0</v>
      </c>
      <c r="AL12" s="10">
        <f>0.0172</f>
        <v>1.72E-2</v>
      </c>
      <c r="AM12" s="10">
        <f>0.0165</f>
        <v>1.6500000000000001E-2</v>
      </c>
      <c r="AN12" s="10">
        <f>0</f>
        <v>0</v>
      </c>
    </row>
    <row r="13" spans="1:40" x14ac:dyDescent="0.3">
      <c r="A13" s="13" t="s">
        <v>165</v>
      </c>
      <c r="B13" s="10">
        <f>0.014</f>
        <v>1.4E-2</v>
      </c>
      <c r="C13" s="10">
        <f>0.014</f>
        <v>1.4E-2</v>
      </c>
      <c r="D13" s="10">
        <f>0.0147</f>
        <v>1.47E-2</v>
      </c>
      <c r="E13" s="10">
        <f>0.0143</f>
        <v>1.43E-2</v>
      </c>
      <c r="F13" s="10">
        <f>0.0139</f>
        <v>1.3899999999999999E-2</v>
      </c>
      <c r="G13" s="10">
        <f>0.014</f>
        <v>1.4E-2</v>
      </c>
      <c r="H13" s="10">
        <f>0.0144</f>
        <v>1.44E-2</v>
      </c>
      <c r="I13" s="10">
        <f>0.014</f>
        <v>1.4E-2</v>
      </c>
      <c r="J13" s="10">
        <f>0.0143</f>
        <v>1.43E-2</v>
      </c>
      <c r="K13" s="10">
        <v>1.4E-2</v>
      </c>
      <c r="L13" s="10">
        <f>0.0142</f>
        <v>1.4200000000000001E-2</v>
      </c>
      <c r="M13" s="10">
        <v>1.46E-2</v>
      </c>
      <c r="N13" s="10">
        <f>0.0143</f>
        <v>1.43E-2</v>
      </c>
      <c r="O13" s="10">
        <f>0.0128</f>
        <v>1.2800000000000001E-2</v>
      </c>
      <c r="P13" s="10">
        <v>1.3100000000000001E-2</v>
      </c>
      <c r="Q13" s="10">
        <v>1.3899999999999999E-2</v>
      </c>
      <c r="R13" s="10">
        <f>0.0149</f>
        <v>1.49E-2</v>
      </c>
      <c r="S13" s="10">
        <f>0.0139</f>
        <v>1.3899999999999999E-2</v>
      </c>
      <c r="T13" s="10">
        <f>0.0145</f>
        <v>1.4500000000000001E-2</v>
      </c>
      <c r="U13" s="10">
        <f>0.0142</f>
        <v>1.4200000000000001E-2</v>
      </c>
      <c r="V13" s="10">
        <f>0.0131</f>
        <v>1.3100000000000001E-2</v>
      </c>
      <c r="W13" s="10">
        <f>0.0129</f>
        <v>1.29E-2</v>
      </c>
      <c r="X13" s="10">
        <f>0.014</f>
        <v>1.4E-2</v>
      </c>
      <c r="Y13" s="10">
        <f>0.0129</f>
        <v>1.29E-2</v>
      </c>
      <c r="Z13" s="10">
        <f>0.0141</f>
        <v>1.41E-2</v>
      </c>
      <c r="AA13" s="10">
        <f>0.0141</f>
        <v>1.41E-2</v>
      </c>
      <c r="AB13" s="10">
        <f>0.0144</f>
        <v>1.44E-2</v>
      </c>
      <c r="AC13" s="10">
        <f>0.0138</f>
        <v>1.38E-2</v>
      </c>
      <c r="AD13" s="10">
        <f>0.0137</f>
        <v>1.37E-2</v>
      </c>
      <c r="AE13" s="10">
        <f>0.0136</f>
        <v>1.3599999999999999E-2</v>
      </c>
      <c r="AF13" s="10">
        <f>0.0132</f>
        <v>1.32E-2</v>
      </c>
      <c r="AG13" s="10">
        <f>0.014</f>
        <v>1.4E-2</v>
      </c>
      <c r="AH13" s="10">
        <f>0.013</f>
        <v>1.2999999999999999E-2</v>
      </c>
      <c r="AI13" s="10">
        <f>0.0129</f>
        <v>1.29E-2</v>
      </c>
      <c r="AJ13" s="10">
        <f>0.0122</f>
        <v>1.2200000000000001E-2</v>
      </c>
      <c r="AK13" s="10">
        <f>0.0152</f>
        <v>1.52E-2</v>
      </c>
      <c r="AL13" s="10">
        <f>0.014</f>
        <v>1.4E-2</v>
      </c>
      <c r="AM13" s="10">
        <f>0.0146</f>
        <v>1.46E-2</v>
      </c>
      <c r="AN13" s="10">
        <f>0.0138</f>
        <v>1.38E-2</v>
      </c>
    </row>
    <row r="14" spans="1:40" x14ac:dyDescent="0.3">
      <c r="A14" s="13" t="s">
        <v>166</v>
      </c>
      <c r="B14" s="10">
        <f>0.0441</f>
        <v>4.41E-2</v>
      </c>
      <c r="C14" s="10">
        <f>0.042</f>
        <v>4.2000000000000003E-2</v>
      </c>
      <c r="D14" s="10">
        <f>0.042</f>
        <v>4.2000000000000003E-2</v>
      </c>
      <c r="E14" s="10">
        <f>0.0442</f>
        <v>4.4200000000000003E-2</v>
      </c>
      <c r="F14" s="10">
        <f>0.0384</f>
        <v>3.8399999999999997E-2</v>
      </c>
      <c r="G14" s="10">
        <f>0.0448</f>
        <v>4.48E-2</v>
      </c>
      <c r="H14" s="10">
        <f>0.0421</f>
        <v>4.2099999999999999E-2</v>
      </c>
      <c r="I14" s="10">
        <f>0.0437</f>
        <v>4.3700000000000003E-2</v>
      </c>
      <c r="J14" s="10">
        <f>0.0422</f>
        <v>4.2200000000000001E-2</v>
      </c>
      <c r="K14" s="10">
        <f>0.0391</f>
        <v>3.9100000000000003E-2</v>
      </c>
      <c r="L14" s="10">
        <f>0.0358</f>
        <v>3.5799999999999998E-2</v>
      </c>
      <c r="M14" s="10">
        <f>0.0318</f>
        <v>3.1800000000000002E-2</v>
      </c>
      <c r="N14" s="10">
        <f>0.0423</f>
        <v>4.2299999999999997E-2</v>
      </c>
      <c r="O14" s="10">
        <f>0.044</f>
        <v>4.3999999999999997E-2</v>
      </c>
      <c r="P14" s="10">
        <f>0.0458</f>
        <v>4.58E-2</v>
      </c>
      <c r="Q14" s="10">
        <f>0.0431</f>
        <v>4.3099999999999999E-2</v>
      </c>
      <c r="R14" s="10">
        <f>0.0345</f>
        <v>3.4500000000000003E-2</v>
      </c>
      <c r="S14" s="10">
        <f>0.0435</f>
        <v>4.3499999999999997E-2</v>
      </c>
      <c r="T14" s="10">
        <f>0.0398</f>
        <v>3.9800000000000002E-2</v>
      </c>
      <c r="U14" s="10">
        <f>0.0296</f>
        <v>2.9600000000000001E-2</v>
      </c>
      <c r="V14" s="10">
        <f>0.0459</f>
        <v>4.5900000000000003E-2</v>
      </c>
      <c r="W14" s="10">
        <f>0.0455</f>
        <v>4.5499999999999999E-2</v>
      </c>
      <c r="X14" s="10">
        <v>4.3200000000000002E-2</v>
      </c>
      <c r="Y14" s="10">
        <f>0.0431</f>
        <v>4.3099999999999999E-2</v>
      </c>
      <c r="Z14" s="10">
        <f>0.0256</f>
        <v>2.5600000000000001E-2</v>
      </c>
      <c r="AA14" s="10">
        <f>0.0415</f>
        <v>4.1500000000000002E-2</v>
      </c>
      <c r="AB14" s="10">
        <v>4.1399999999999999E-2</v>
      </c>
      <c r="AC14" s="10">
        <f>0.0421</f>
        <v>4.2099999999999999E-2</v>
      </c>
      <c r="AD14" s="10">
        <f>0.046</f>
        <v>4.5999999999999999E-2</v>
      </c>
      <c r="AE14" s="10">
        <f>0.0449</f>
        <v>4.4900000000000002E-2</v>
      </c>
      <c r="AF14" s="10">
        <f>0</f>
        <v>0</v>
      </c>
      <c r="AG14" s="10">
        <f>0.0401</f>
        <v>4.0099999999999997E-2</v>
      </c>
      <c r="AH14" s="10">
        <f>0</f>
        <v>0</v>
      </c>
      <c r="AI14" s="10">
        <f>0</f>
        <v>0</v>
      </c>
      <c r="AJ14" s="10">
        <f>0.0479</f>
        <v>4.7899999999999998E-2</v>
      </c>
      <c r="AK14" s="10">
        <f>0.0392</f>
        <v>3.9199999999999999E-2</v>
      </c>
      <c r="AL14" s="10">
        <f>0.0433</f>
        <v>4.3299999999999998E-2</v>
      </c>
      <c r="AM14" s="10">
        <f>0.0387</f>
        <v>3.8699999999999998E-2</v>
      </c>
      <c r="AN14" s="10">
        <f>0.0386</f>
        <v>3.8600000000000002E-2</v>
      </c>
    </row>
    <row r="15" spans="1:40" x14ac:dyDescent="0.3">
      <c r="A15" s="13" t="s">
        <v>167</v>
      </c>
      <c r="B15" s="10">
        <f>0.019</f>
        <v>1.9E-2</v>
      </c>
      <c r="C15" s="10">
        <f>0.0195</f>
        <v>1.95E-2</v>
      </c>
      <c r="D15" s="10">
        <f>0.017</f>
        <v>1.7000000000000001E-2</v>
      </c>
      <c r="E15" s="10">
        <f>0.0173</f>
        <v>1.7299999999999999E-2</v>
      </c>
      <c r="F15" s="10">
        <f>0.0182</f>
        <v>1.8200000000000001E-2</v>
      </c>
      <c r="G15" s="10">
        <f>0.0194</f>
        <v>1.9400000000000001E-2</v>
      </c>
      <c r="H15" s="10">
        <f>0.0194</f>
        <v>1.9400000000000001E-2</v>
      </c>
      <c r="I15" s="10">
        <f>0.0192</f>
        <v>1.9199999999999998E-2</v>
      </c>
      <c r="J15" s="10">
        <f>0.0189</f>
        <v>1.89E-2</v>
      </c>
      <c r="K15" s="10">
        <f>0.0171</f>
        <v>1.7100000000000001E-2</v>
      </c>
      <c r="L15" s="10">
        <f>0.0166</f>
        <v>1.66E-2</v>
      </c>
      <c r="M15" s="10">
        <f>0.0162</f>
        <v>1.6199999999999999E-2</v>
      </c>
      <c r="N15" s="10">
        <f>0.0157</f>
        <v>1.5699999999999999E-2</v>
      </c>
      <c r="O15" s="10">
        <f>0.0168</f>
        <v>1.6799999999999999E-2</v>
      </c>
      <c r="P15" s="10">
        <f>0.0163</f>
        <v>1.6299999999999999E-2</v>
      </c>
      <c r="Q15" s="10">
        <f>0.0155</f>
        <v>1.55E-2</v>
      </c>
      <c r="R15" s="10">
        <f>0.0165</f>
        <v>1.6500000000000001E-2</v>
      </c>
      <c r="S15" s="10">
        <f>0.0191</f>
        <v>1.9099999999999999E-2</v>
      </c>
      <c r="T15" s="10">
        <f>0.019</f>
        <v>1.9E-2</v>
      </c>
      <c r="U15" s="10">
        <f>0.0166</f>
        <v>1.66E-2</v>
      </c>
      <c r="V15" s="10">
        <f>0.0168</f>
        <v>1.6799999999999999E-2</v>
      </c>
      <c r="W15" s="10">
        <f>0.0149</f>
        <v>1.49E-2</v>
      </c>
      <c r="X15" s="10">
        <f>0.0155</f>
        <v>1.55E-2</v>
      </c>
      <c r="Y15" s="10">
        <f>0.016</f>
        <v>1.6E-2</v>
      </c>
      <c r="Z15" s="10">
        <f>0.0172</f>
        <v>1.72E-2</v>
      </c>
      <c r="AA15" s="10">
        <f>0.0189</f>
        <v>1.89E-2</v>
      </c>
      <c r="AB15" s="10">
        <f>0.0174</f>
        <v>1.7399999999999999E-2</v>
      </c>
      <c r="AC15" s="10">
        <f>0.0193</f>
        <v>1.9300000000000001E-2</v>
      </c>
      <c r="AD15" s="10">
        <f>0.0173</f>
        <v>1.7299999999999999E-2</v>
      </c>
      <c r="AE15" s="10">
        <f>0.0177</f>
        <v>1.77E-2</v>
      </c>
      <c r="AF15" s="10">
        <f>0.0174</f>
        <v>1.7399999999999999E-2</v>
      </c>
      <c r="AG15" s="10">
        <f>0.0178</f>
        <v>1.78E-2</v>
      </c>
      <c r="AH15" s="10">
        <f>0.0168</f>
        <v>1.6799999999999999E-2</v>
      </c>
      <c r="AI15" s="10">
        <f>0.0176</f>
        <v>1.7600000000000001E-2</v>
      </c>
      <c r="AJ15" s="10">
        <f>0.0177</f>
        <v>1.77E-2</v>
      </c>
      <c r="AK15" s="10">
        <f>0.0203</f>
        <v>2.0299999999999999E-2</v>
      </c>
      <c r="AL15" s="10">
        <f>0.0197</f>
        <v>1.9699999999999999E-2</v>
      </c>
      <c r="AM15" s="10">
        <f>0.0202</f>
        <v>2.0199999999999999E-2</v>
      </c>
      <c r="AN15" s="10">
        <f>0.0199</f>
        <v>1.9900000000000001E-2</v>
      </c>
    </row>
    <row r="16" spans="1:40" x14ac:dyDescent="0.3">
      <c r="A16" s="13" t="s">
        <v>189</v>
      </c>
      <c r="B16" s="10">
        <f>0.0114</f>
        <v>1.14E-2</v>
      </c>
      <c r="C16" s="10">
        <f>0.0115</f>
        <v>1.15E-2</v>
      </c>
      <c r="D16" s="10">
        <f>0</f>
        <v>0</v>
      </c>
      <c r="E16" s="10">
        <f>0.01</f>
        <v>0.01</v>
      </c>
      <c r="F16" s="10">
        <f>0</f>
        <v>0</v>
      </c>
      <c r="G16" s="10">
        <f>0.0115</f>
        <v>1.15E-2</v>
      </c>
      <c r="H16" s="10">
        <f>0</f>
        <v>0</v>
      </c>
      <c r="I16" s="10">
        <f>0</f>
        <v>0</v>
      </c>
      <c r="J16" s="10">
        <f>0</f>
        <v>0</v>
      </c>
      <c r="K16" s="10">
        <f>0.0103</f>
        <v>1.03E-2</v>
      </c>
      <c r="L16" s="10">
        <f>0.01</f>
        <v>0.01</v>
      </c>
      <c r="M16" s="10">
        <f>0.0177</f>
        <v>1.77E-2</v>
      </c>
      <c r="N16" s="10">
        <f>0.0094</f>
        <v>9.4000000000000004E-3</v>
      </c>
      <c r="O16" s="10">
        <v>1.11E-2</v>
      </c>
      <c r="P16" s="10">
        <f>0.0113</f>
        <v>1.1299999999999999E-2</v>
      </c>
      <c r="Q16" s="10">
        <f>0.0093</f>
        <v>9.2999999999999992E-3</v>
      </c>
      <c r="R16" s="10">
        <f>0.0191</f>
        <v>1.9099999999999999E-2</v>
      </c>
      <c r="S16" s="10">
        <f>0</f>
        <v>0</v>
      </c>
      <c r="T16" s="10">
        <v>1.2E-2</v>
      </c>
      <c r="U16" s="10">
        <f>0.019</f>
        <v>1.9E-2</v>
      </c>
      <c r="V16" s="10">
        <f>0.0101</f>
        <v>1.01E-2</v>
      </c>
      <c r="W16" s="10">
        <f>0.0107</f>
        <v>1.0699999999999999E-2</v>
      </c>
      <c r="X16" s="10">
        <f>0.0091</f>
        <v>9.1000000000000004E-3</v>
      </c>
      <c r="Y16" s="10">
        <f>0.0105</f>
        <v>1.0500000000000001E-2</v>
      </c>
      <c r="Z16" s="10">
        <f>0.0194</f>
        <v>1.9400000000000001E-2</v>
      </c>
      <c r="AA16" s="10">
        <f>0.0118</f>
        <v>1.18E-2</v>
      </c>
      <c r="AB16" s="10">
        <f>0.0102</f>
        <v>1.0200000000000001E-2</v>
      </c>
      <c r="AC16" s="10">
        <f>0</f>
        <v>0</v>
      </c>
      <c r="AD16" s="10">
        <f>0</f>
        <v>0</v>
      </c>
      <c r="AE16" s="10">
        <f>0</f>
        <v>0</v>
      </c>
      <c r="AF16" s="10">
        <f>0.0118</f>
        <v>1.18E-2</v>
      </c>
      <c r="AG16" s="10">
        <f>0</f>
        <v>0</v>
      </c>
      <c r="AH16" s="10">
        <f>0</f>
        <v>0</v>
      </c>
      <c r="AI16" s="10">
        <f>0.0114</f>
        <v>1.14E-2</v>
      </c>
      <c r="AJ16" s="10">
        <f>0.011</f>
        <v>1.0999999999999999E-2</v>
      </c>
      <c r="AK16" s="10">
        <f>0</f>
        <v>0</v>
      </c>
      <c r="AL16" s="10">
        <f>0.0114</f>
        <v>1.14E-2</v>
      </c>
      <c r="AM16" s="10">
        <f>0</f>
        <v>0</v>
      </c>
      <c r="AN16" s="10">
        <f>0.0113</f>
        <v>1.1299999999999999E-2</v>
      </c>
    </row>
    <row r="17" spans="1:40" x14ac:dyDescent="0.3">
      <c r="A17" s="13" t="s">
        <v>190</v>
      </c>
      <c r="B17" s="10">
        <f>0.0481</f>
        <v>4.8099999999999997E-2</v>
      </c>
      <c r="C17" s="10">
        <f>0.0493</f>
        <v>4.9299999999999997E-2</v>
      </c>
      <c r="D17" s="10">
        <f>0.0435</f>
        <v>4.3499999999999997E-2</v>
      </c>
      <c r="E17" s="10">
        <f>0.044</f>
        <v>4.3999999999999997E-2</v>
      </c>
      <c r="F17" s="10">
        <f>0.0467</f>
        <v>4.6699999999999998E-2</v>
      </c>
      <c r="G17" s="10">
        <f>0.0502</f>
        <v>5.0200000000000002E-2</v>
      </c>
      <c r="H17" s="10">
        <f>0.0484</f>
        <v>4.8399999999999999E-2</v>
      </c>
      <c r="I17" s="10">
        <f>0.0472</f>
        <v>4.7199999999999999E-2</v>
      </c>
      <c r="J17" s="10">
        <f>0.0484</f>
        <v>4.8399999999999999E-2</v>
      </c>
      <c r="K17" s="10">
        <v>4.4999999999999998E-2</v>
      </c>
      <c r="L17" s="10">
        <f>0.0457</f>
        <v>4.5699999999999998E-2</v>
      </c>
      <c r="M17" s="10">
        <f>0.0435</f>
        <v>4.3499999999999997E-2</v>
      </c>
      <c r="N17" s="10">
        <f>0.0435</f>
        <v>4.3499999999999997E-2</v>
      </c>
      <c r="O17" s="10">
        <f>0.0454</f>
        <v>4.5400000000000003E-2</v>
      </c>
      <c r="P17" s="10">
        <f>0.0471</f>
        <v>4.7100000000000003E-2</v>
      </c>
      <c r="Q17" s="10">
        <f>0.0429</f>
        <v>4.2900000000000001E-2</v>
      </c>
      <c r="R17" s="10">
        <f>0.0436</f>
        <v>4.36E-2</v>
      </c>
      <c r="S17" s="10">
        <f>0.0483</f>
        <v>4.8300000000000003E-2</v>
      </c>
      <c r="T17" s="10">
        <f>0.0492</f>
        <v>4.9200000000000001E-2</v>
      </c>
      <c r="U17" s="10">
        <f>0.0418</f>
        <v>4.1799999999999997E-2</v>
      </c>
      <c r="V17" s="10">
        <f>0.0474</f>
        <v>4.7399999999999998E-2</v>
      </c>
      <c r="W17" s="10">
        <f>0.0438</f>
        <v>4.3799999999999999E-2</v>
      </c>
      <c r="X17" s="10">
        <f>0.0412</f>
        <v>4.1200000000000001E-2</v>
      </c>
      <c r="Y17" s="10">
        <f>0.0488</f>
        <v>4.8800000000000003E-2</v>
      </c>
      <c r="Z17" s="10">
        <f>0.0421</f>
        <v>4.2099999999999999E-2</v>
      </c>
      <c r="AA17" s="10">
        <f>0.0493</f>
        <v>4.9299999999999997E-2</v>
      </c>
      <c r="AB17" s="10">
        <f>0.0429</f>
        <v>4.2900000000000001E-2</v>
      </c>
      <c r="AC17" s="10">
        <f>0.0506</f>
        <v>5.0599999999999999E-2</v>
      </c>
      <c r="AD17" s="10">
        <f>0.0472</f>
        <v>4.7199999999999999E-2</v>
      </c>
      <c r="AE17" s="10">
        <f>0.0478</f>
        <v>4.7800000000000002E-2</v>
      </c>
      <c r="AF17" s="10">
        <f>0</f>
        <v>0</v>
      </c>
      <c r="AG17" s="10">
        <f>0.046</f>
        <v>4.5999999999999999E-2</v>
      </c>
      <c r="AH17" s="10">
        <f>0</f>
        <v>0</v>
      </c>
      <c r="AI17" s="10">
        <f>0</f>
        <v>0</v>
      </c>
      <c r="AJ17" s="10">
        <f>0.0452</f>
        <v>4.5199999999999997E-2</v>
      </c>
      <c r="AK17" s="10">
        <f>0.0483</f>
        <v>4.8300000000000003E-2</v>
      </c>
      <c r="AL17" s="10">
        <f>0.0464</f>
        <v>4.6399999999999997E-2</v>
      </c>
      <c r="AM17" s="10">
        <f>0.0496</f>
        <v>4.9599999999999998E-2</v>
      </c>
      <c r="AN17" s="10">
        <f>0.0482</f>
        <v>4.82E-2</v>
      </c>
    </row>
    <row r="18" spans="1:40" x14ac:dyDescent="0.3">
      <c r="A18" s="13" t="s">
        <v>169</v>
      </c>
      <c r="B18" s="10">
        <f>0.0522</f>
        <v>5.2200000000000003E-2</v>
      </c>
      <c r="C18" s="10">
        <f>0</f>
        <v>0</v>
      </c>
      <c r="D18" s="10">
        <f>0.0474</f>
        <v>4.7399999999999998E-2</v>
      </c>
      <c r="E18" s="10">
        <f>0.0482</f>
        <v>4.82E-2</v>
      </c>
      <c r="F18" s="10">
        <f>0.0487</f>
        <v>4.87E-2</v>
      </c>
      <c r="G18" s="10">
        <f>0.0501</f>
        <v>5.0099999999999999E-2</v>
      </c>
      <c r="H18" s="10">
        <f>0</f>
        <v>0</v>
      </c>
      <c r="I18" s="10">
        <f>0.0536</f>
        <v>5.3600000000000002E-2</v>
      </c>
      <c r="J18" s="10">
        <f>0.0523</f>
        <v>5.2299999999999999E-2</v>
      </c>
      <c r="K18" s="10">
        <f>0.0475</f>
        <v>4.7500000000000001E-2</v>
      </c>
      <c r="L18" s="10">
        <f>0.0463</f>
        <v>4.6300000000000001E-2</v>
      </c>
      <c r="M18" s="10">
        <f>0.0429</f>
        <v>4.2900000000000001E-2</v>
      </c>
      <c r="N18" s="10">
        <f>0.04</f>
        <v>0.04</v>
      </c>
      <c r="O18" s="10">
        <f>0.0486</f>
        <v>4.8599999999999997E-2</v>
      </c>
      <c r="P18" s="10">
        <f>0.0463</f>
        <v>4.6300000000000001E-2</v>
      </c>
      <c r="Q18" s="10">
        <f>0</f>
        <v>0</v>
      </c>
      <c r="R18" s="10">
        <f>0.0427</f>
        <v>4.2700000000000002E-2</v>
      </c>
      <c r="S18" s="10">
        <f>0.0512</f>
        <v>5.1200000000000002E-2</v>
      </c>
      <c r="T18" s="10">
        <f>0</f>
        <v>0</v>
      </c>
      <c r="U18" s="10">
        <f>0.0444</f>
        <v>4.4400000000000002E-2</v>
      </c>
      <c r="V18" s="10">
        <f>0.0489</f>
        <v>4.8899999999999999E-2</v>
      </c>
      <c r="W18" s="10">
        <f>0.0459</f>
        <v>4.5900000000000003E-2</v>
      </c>
      <c r="X18" s="10">
        <f>0</f>
        <v>0</v>
      </c>
      <c r="Y18" s="10">
        <f>0.0487</f>
        <v>4.87E-2</v>
      </c>
      <c r="Z18" s="10">
        <f>0.042</f>
        <v>4.2000000000000003E-2</v>
      </c>
      <c r="AA18" s="10">
        <f>0</f>
        <v>0</v>
      </c>
      <c r="AB18" s="10">
        <f>0.046</f>
        <v>4.5999999999999999E-2</v>
      </c>
      <c r="AC18" s="10">
        <f>0</f>
        <v>0</v>
      </c>
      <c r="AD18" s="10">
        <f>0.0554</f>
        <v>5.5399999999999998E-2</v>
      </c>
      <c r="AE18" s="10">
        <f>0.0538</f>
        <v>5.3800000000000001E-2</v>
      </c>
      <c r="AF18" s="10">
        <f>0.0616</f>
        <v>6.1600000000000002E-2</v>
      </c>
      <c r="AG18" s="10">
        <f>0.0521</f>
        <v>5.21E-2</v>
      </c>
      <c r="AH18" s="10">
        <f>0.0614</f>
        <v>6.1400000000000003E-2</v>
      </c>
      <c r="AI18" s="10">
        <f>0.061</f>
        <v>6.0999999999999999E-2</v>
      </c>
      <c r="AJ18" s="10">
        <f>0.0483</f>
        <v>4.8300000000000003E-2</v>
      </c>
      <c r="AK18" s="10">
        <f>0.0535</f>
        <v>5.3499999999999999E-2</v>
      </c>
      <c r="AL18" s="10">
        <f>0.0528</f>
        <v>5.28E-2</v>
      </c>
      <c r="AM18" s="10">
        <f>0.0531</f>
        <v>5.3100000000000001E-2</v>
      </c>
      <c r="AN18" s="10">
        <f>0.0526</f>
        <v>5.2600000000000001E-2</v>
      </c>
    </row>
    <row r="19" spans="1:40" x14ac:dyDescent="0.3">
      <c r="A19" s="13" t="s">
        <v>170</v>
      </c>
      <c r="B19" s="10">
        <f>0</f>
        <v>0</v>
      </c>
      <c r="C19" s="10">
        <f>0</f>
        <v>0</v>
      </c>
      <c r="D19" s="10">
        <f>0.0529</f>
        <v>5.2900000000000003E-2</v>
      </c>
      <c r="E19" s="10">
        <f>0.0542</f>
        <v>5.4199999999999998E-2</v>
      </c>
      <c r="F19" s="10">
        <f>0.0578</f>
        <v>5.7799999999999997E-2</v>
      </c>
      <c r="G19" s="10">
        <f>0.0572</f>
        <v>5.7200000000000001E-2</v>
      </c>
      <c r="H19" s="10">
        <f>0</f>
        <v>0</v>
      </c>
      <c r="I19" s="10">
        <f>0.0565</f>
        <v>5.6500000000000002E-2</v>
      </c>
      <c r="J19" s="10">
        <f>0.0581</f>
        <v>5.8099999999999999E-2</v>
      </c>
      <c r="K19" s="10">
        <f>0.0553</f>
        <v>5.5300000000000002E-2</v>
      </c>
      <c r="L19" s="10">
        <f>0.0541</f>
        <v>5.4100000000000002E-2</v>
      </c>
      <c r="M19" s="10">
        <f>0.0487</f>
        <v>4.87E-2</v>
      </c>
      <c r="N19" s="10">
        <f>0</f>
        <v>0</v>
      </c>
      <c r="O19" s="10">
        <f>0.0522</f>
        <v>5.2200000000000003E-2</v>
      </c>
      <c r="P19" s="10">
        <f>0.0559</f>
        <v>5.5899999999999998E-2</v>
      </c>
      <c r="Q19" s="10">
        <f>0</f>
        <v>0</v>
      </c>
      <c r="R19" s="10">
        <f>0.0493</f>
        <v>4.9299999999999997E-2</v>
      </c>
      <c r="S19" s="10">
        <f>0.0575</f>
        <v>5.7500000000000002E-2</v>
      </c>
      <c r="T19" s="10">
        <f>0.0601</f>
        <v>6.0100000000000001E-2</v>
      </c>
      <c r="U19" s="10">
        <f>0.0472</f>
        <v>4.7199999999999999E-2</v>
      </c>
      <c r="V19" s="10">
        <f>0.0522</f>
        <v>5.2200000000000003E-2</v>
      </c>
      <c r="W19" s="10">
        <f>0.0606</f>
        <v>6.0600000000000001E-2</v>
      </c>
      <c r="X19" s="10" t="s">
        <v>160</v>
      </c>
      <c r="Y19" s="10">
        <f>0.0568</f>
        <v>5.6800000000000003E-2</v>
      </c>
      <c r="Z19" s="10">
        <f>0</f>
        <v>0</v>
      </c>
      <c r="AA19" s="10">
        <f>0.0624</f>
        <v>6.2399999999999997E-2</v>
      </c>
      <c r="AB19" s="10">
        <f>0.0605</f>
        <v>6.0499999999999998E-2</v>
      </c>
      <c r="AC19" s="10">
        <f>0.0605</f>
        <v>6.0499999999999998E-2</v>
      </c>
      <c r="AD19" s="10">
        <f>0.0614</f>
        <v>6.1400000000000003E-2</v>
      </c>
      <c r="AE19" s="10">
        <f>0.0621</f>
        <v>6.2100000000000002E-2</v>
      </c>
      <c r="AF19" s="10">
        <f>0</f>
        <v>0</v>
      </c>
      <c r="AG19" s="10">
        <f>0.0662</f>
        <v>6.6199999999999995E-2</v>
      </c>
      <c r="AH19" s="10">
        <f>0</f>
        <v>0</v>
      </c>
      <c r="AI19" s="10">
        <f>0</f>
        <v>0</v>
      </c>
      <c r="AJ19" s="10">
        <v>5.79E-2</v>
      </c>
      <c r="AK19" s="10">
        <f>0</f>
        <v>0</v>
      </c>
      <c r="AL19" s="10">
        <f>0</f>
        <v>0</v>
      </c>
      <c r="AM19" s="10">
        <f>0.0575</f>
        <v>5.7500000000000002E-2</v>
      </c>
      <c r="AN19" s="10">
        <f>0.0579</f>
        <v>5.79E-2</v>
      </c>
    </row>
    <row r="20" spans="1:40" x14ac:dyDescent="0.3">
      <c r="A20" s="13" t="s">
        <v>171</v>
      </c>
      <c r="B20" s="10">
        <v>0</v>
      </c>
      <c r="C20" s="10">
        <v>0.45100000000000001</v>
      </c>
      <c r="D20" s="10">
        <f>0</f>
        <v>0</v>
      </c>
      <c r="E20" s="10">
        <f>0</f>
        <v>0</v>
      </c>
      <c r="F20" s="10">
        <f>0.4619</f>
        <v>0.46189999999999998</v>
      </c>
      <c r="G20" s="10">
        <f>0.4609</f>
        <v>0.46089999999999998</v>
      </c>
      <c r="H20" s="10">
        <f>0.4647</f>
        <v>0.4647</v>
      </c>
      <c r="I20" s="10">
        <v>0.44990000000000002</v>
      </c>
      <c r="J20" s="10">
        <f>0.4788</f>
        <v>0.4788</v>
      </c>
      <c r="K20" s="10">
        <f>0</f>
        <v>0</v>
      </c>
      <c r="L20" s="10">
        <f>0.4452</f>
        <v>0.44519999999999998</v>
      </c>
      <c r="M20" s="10">
        <f>0.4073</f>
        <v>0.4073</v>
      </c>
      <c r="N20" s="10">
        <f>0</f>
        <v>0</v>
      </c>
      <c r="O20" s="10">
        <f>0.369</f>
        <v>0.36899999999999999</v>
      </c>
      <c r="P20" s="10">
        <v>0.35680000000000001</v>
      </c>
      <c r="Q20" s="10">
        <f>0</f>
        <v>0</v>
      </c>
      <c r="R20" s="10">
        <f>0.4215</f>
        <v>0.42149999999999999</v>
      </c>
      <c r="S20" s="10">
        <f>0</f>
        <v>0</v>
      </c>
      <c r="T20" s="10">
        <f>0</f>
        <v>0</v>
      </c>
      <c r="U20" s="10">
        <f>0.4147</f>
        <v>0.41470000000000001</v>
      </c>
      <c r="V20" s="10">
        <f>0.3689</f>
        <v>0.36890000000000001</v>
      </c>
      <c r="W20" s="10">
        <f>0.4158</f>
        <v>0.4158</v>
      </c>
      <c r="X20" s="10">
        <f>0</f>
        <v>0</v>
      </c>
      <c r="Y20" s="10">
        <f>0.3952</f>
        <v>0.3952</v>
      </c>
      <c r="Z20" s="10">
        <f>0.385</f>
        <v>0.38500000000000001</v>
      </c>
      <c r="AA20" s="10">
        <f>0</f>
        <v>0</v>
      </c>
      <c r="AB20" s="10">
        <f>0</f>
        <v>0</v>
      </c>
      <c r="AC20" s="10">
        <f>0.464</f>
        <v>0.46400000000000002</v>
      </c>
      <c r="AD20" s="10">
        <f>0.4658</f>
        <v>0.46579999999999999</v>
      </c>
      <c r="AE20" s="10">
        <f>0.4462</f>
        <v>0.44619999999999999</v>
      </c>
      <c r="AF20" s="10">
        <f>0.452</f>
        <v>0.45200000000000001</v>
      </c>
      <c r="AG20" s="10">
        <f>0.423</f>
        <v>0.42299999999999999</v>
      </c>
      <c r="AH20" s="10">
        <f>0.446</f>
        <v>0.44600000000000001</v>
      </c>
      <c r="AI20" s="10">
        <f>0.4553</f>
        <v>0.45529999999999998</v>
      </c>
      <c r="AJ20" s="10">
        <f>0</f>
        <v>0</v>
      </c>
      <c r="AK20" s="10">
        <f>0.4584</f>
        <v>0.45839999999999997</v>
      </c>
      <c r="AL20" s="10">
        <f>0.451</f>
        <v>0.45100000000000001</v>
      </c>
      <c r="AM20" s="10">
        <f>0.4829</f>
        <v>0.4829</v>
      </c>
      <c r="AN20" s="10">
        <f>0.4502</f>
        <v>0.45019999999999999</v>
      </c>
    </row>
    <row r="21" spans="1:40" x14ac:dyDescent="0.3">
      <c r="A21" s="13" t="s">
        <v>172</v>
      </c>
      <c r="B21" s="10">
        <f>0.2427</f>
        <v>0.2427</v>
      </c>
      <c r="C21" s="10">
        <f>0.2808</f>
        <v>0.28079999999999999</v>
      </c>
      <c r="D21" s="10">
        <f>0.2246</f>
        <v>0.22459999999999999</v>
      </c>
      <c r="E21" s="10">
        <f>0.2614</f>
        <v>0.26140000000000002</v>
      </c>
      <c r="F21" s="10">
        <f>0.2705</f>
        <v>0.27050000000000002</v>
      </c>
      <c r="G21" s="10">
        <f>0.2959</f>
        <v>0.2959</v>
      </c>
      <c r="H21" s="10">
        <f>0.2606</f>
        <v>0.2606</v>
      </c>
      <c r="I21" s="10">
        <f>0.2429</f>
        <v>0.2429</v>
      </c>
      <c r="J21" s="10">
        <f>0.2688</f>
        <v>0.26879999999999998</v>
      </c>
      <c r="K21" s="10">
        <f>0.2197</f>
        <v>0.21970000000000001</v>
      </c>
      <c r="L21" s="10">
        <f>0.2297</f>
        <v>0.22969999999999999</v>
      </c>
      <c r="M21" s="10">
        <f>0.2424</f>
        <v>0.2424</v>
      </c>
      <c r="N21" s="10">
        <f>0.2052</f>
        <v>0.20519999999999999</v>
      </c>
      <c r="O21" s="10">
        <f>0.2422</f>
        <v>0.2422</v>
      </c>
      <c r="P21" s="10">
        <f>0.2305</f>
        <v>0.23050000000000001</v>
      </c>
      <c r="Q21" s="10">
        <f>0</f>
        <v>0</v>
      </c>
      <c r="R21" s="10">
        <f>0.2854</f>
        <v>0.28539999999999999</v>
      </c>
      <c r="S21" s="10">
        <f>0.2605</f>
        <v>0.26050000000000001</v>
      </c>
      <c r="T21" s="10">
        <f>0.2912</f>
        <v>0.29120000000000001</v>
      </c>
      <c r="U21" s="10">
        <f>0.2949</f>
        <v>0.2949</v>
      </c>
      <c r="V21" s="10">
        <f>0.2117</f>
        <v>0.2117</v>
      </c>
      <c r="W21" s="10">
        <f>0.2047</f>
        <v>0.20469999999999999</v>
      </c>
      <c r="X21" s="10">
        <f>0</f>
        <v>0</v>
      </c>
      <c r="Y21" s="10">
        <f>0.2366</f>
        <v>0.2366</v>
      </c>
      <c r="Z21" s="10">
        <f>0.2301</f>
        <v>0.2301</v>
      </c>
      <c r="AA21" s="10">
        <f>0.2734</f>
        <v>0.27339999999999998</v>
      </c>
      <c r="AB21" s="10">
        <f>0.2125</f>
        <v>0.21249999999999999</v>
      </c>
      <c r="AC21" s="10">
        <f>0.2874</f>
        <v>0.28739999999999999</v>
      </c>
      <c r="AD21" s="10">
        <f>0.2791</f>
        <v>0.27910000000000001</v>
      </c>
      <c r="AE21" s="10">
        <f>0</f>
        <v>0</v>
      </c>
      <c r="AF21" s="10">
        <f>0.2274</f>
        <v>0.22739999999999999</v>
      </c>
      <c r="AG21" s="10">
        <f>0.2505</f>
        <v>0.2505</v>
      </c>
      <c r="AH21" s="10">
        <f>0.2421</f>
        <v>0.24210000000000001</v>
      </c>
      <c r="AI21" s="10">
        <f>0.232</f>
        <v>0.23200000000000001</v>
      </c>
      <c r="AJ21" s="10">
        <f>0.2347</f>
        <v>0.23469999999999999</v>
      </c>
      <c r="AK21" s="10">
        <f>0.2556</f>
        <v>0.25559999999999999</v>
      </c>
      <c r="AL21" s="10">
        <f>0.29</f>
        <v>0.28999999999999998</v>
      </c>
      <c r="AM21" s="10">
        <f>0.275</f>
        <v>0.27500000000000002</v>
      </c>
      <c r="AN21" s="10">
        <f>0.259</f>
        <v>0.25900000000000001</v>
      </c>
    </row>
    <row r="22" spans="1:40" x14ac:dyDescent="0.3">
      <c r="A22" s="13" t="s">
        <v>173</v>
      </c>
      <c r="B22" s="10">
        <f>0.2705</f>
        <v>0.27050000000000002</v>
      </c>
      <c r="C22" s="10">
        <f>0.2842</f>
        <v>0.28420000000000001</v>
      </c>
      <c r="D22" s="10">
        <f>0.2174</f>
        <v>0.21740000000000001</v>
      </c>
      <c r="E22" s="10">
        <f>0.2384</f>
        <v>0.2384</v>
      </c>
      <c r="F22" s="10">
        <f>0.276</f>
        <v>0.27600000000000002</v>
      </c>
      <c r="G22" s="10">
        <f>0.2983</f>
        <v>0.29830000000000001</v>
      </c>
      <c r="H22" s="10">
        <f>0.2967</f>
        <v>0.29670000000000002</v>
      </c>
      <c r="I22" s="10">
        <f>0.2927</f>
        <v>0.29270000000000002</v>
      </c>
      <c r="J22" s="10">
        <f>0.2948</f>
        <v>0.29480000000000001</v>
      </c>
      <c r="K22" s="10">
        <f>0.224</f>
        <v>0.224</v>
      </c>
      <c r="L22" s="10">
        <f>0.2818</f>
        <v>0.28179999999999999</v>
      </c>
      <c r="M22" s="10">
        <f>0.2165</f>
        <v>0.2165</v>
      </c>
      <c r="N22" s="10">
        <f>0</f>
        <v>0</v>
      </c>
      <c r="O22" s="10">
        <f>0.2686</f>
        <v>0.26860000000000001</v>
      </c>
      <c r="P22" s="10">
        <f>0.2395</f>
        <v>0.23949999999999999</v>
      </c>
      <c r="Q22" s="10">
        <f>0.1838</f>
        <v>0.18379999999999999</v>
      </c>
      <c r="R22" s="10">
        <f>0.2801</f>
        <v>0.28010000000000002</v>
      </c>
      <c r="S22" s="10">
        <f>0.2787</f>
        <v>0.2787</v>
      </c>
      <c r="T22" s="10">
        <f>0.2718</f>
        <v>0.27179999999999999</v>
      </c>
      <c r="U22" s="10">
        <f>0.2169</f>
        <v>0.21690000000000001</v>
      </c>
      <c r="V22" s="10">
        <f>0.2344</f>
        <v>0.2344</v>
      </c>
      <c r="W22" s="10">
        <f>0.2686</f>
        <v>0.26860000000000001</v>
      </c>
      <c r="X22" s="10">
        <f>0.2201</f>
        <v>0.22009999999999999</v>
      </c>
      <c r="Y22" s="10">
        <f>0.2687</f>
        <v>0.26869999999999999</v>
      </c>
      <c r="Z22" s="10">
        <f>0.2399</f>
        <v>0.2399</v>
      </c>
      <c r="AA22" s="10">
        <f>0.264</f>
        <v>0.26400000000000001</v>
      </c>
      <c r="AB22" s="10">
        <f>0.2527</f>
        <v>0.25269999999999998</v>
      </c>
      <c r="AC22" s="10">
        <f>0.2555</f>
        <v>0.2555</v>
      </c>
      <c r="AD22" s="10">
        <f>0.2793</f>
        <v>0.27929999999999999</v>
      </c>
      <c r="AE22" s="10">
        <f>0.2509</f>
        <v>0.25090000000000001</v>
      </c>
      <c r="AF22" s="10">
        <f>0.2428</f>
        <v>0.24279999999999999</v>
      </c>
      <c r="AG22" s="10">
        <f>0.2644</f>
        <v>0.26440000000000002</v>
      </c>
      <c r="AH22" s="10">
        <f>0</f>
        <v>0</v>
      </c>
      <c r="AI22" s="10">
        <f>0</f>
        <v>0</v>
      </c>
      <c r="AJ22" s="10">
        <f>0.299</f>
        <v>0.29899999999999999</v>
      </c>
      <c r="AK22" s="10">
        <f>0.2429</f>
        <v>0.2429</v>
      </c>
      <c r="AL22" s="10">
        <f>0.2662</f>
        <v>0.26619999999999999</v>
      </c>
      <c r="AM22" s="10">
        <f>0.279</f>
        <v>0.27900000000000003</v>
      </c>
      <c r="AN22" s="10">
        <f>0.286</f>
        <v>0.28599999999999998</v>
      </c>
    </row>
    <row r="23" spans="1:40" x14ac:dyDescent="0.3">
      <c r="A23" s="13" t="s">
        <v>174</v>
      </c>
      <c r="B23" s="10">
        <f>0.1757</f>
        <v>0.1757</v>
      </c>
      <c r="C23" s="10">
        <v>0.1754</v>
      </c>
      <c r="D23" s="10">
        <v>0.14380000000000001</v>
      </c>
      <c r="E23" s="10">
        <f>0.1531</f>
        <v>0.15310000000000001</v>
      </c>
      <c r="F23" s="10">
        <f>0.1665</f>
        <v>0.16650000000000001</v>
      </c>
      <c r="G23" s="10">
        <f>0.1686</f>
        <v>0.1686</v>
      </c>
      <c r="H23" s="10">
        <f>0.1723</f>
        <v>0.17230000000000001</v>
      </c>
      <c r="I23" s="10">
        <f>0.1679</f>
        <v>0.16789999999999999</v>
      </c>
      <c r="J23" s="10">
        <f>0.1765</f>
        <v>0.17649999999999999</v>
      </c>
      <c r="K23" s="10">
        <f>0.1439</f>
        <v>0.1439</v>
      </c>
      <c r="L23" s="10">
        <f>0.1545</f>
        <v>0.1545</v>
      </c>
      <c r="M23" s="10">
        <f>0.1377</f>
        <v>0.13769999999999999</v>
      </c>
      <c r="N23" s="10">
        <f>0</f>
        <v>0</v>
      </c>
      <c r="O23" s="10">
        <f>0.1423</f>
        <v>0.14230000000000001</v>
      </c>
      <c r="P23" s="10">
        <f>0</f>
        <v>0</v>
      </c>
      <c r="Q23" s="10">
        <f>0</f>
        <v>0</v>
      </c>
      <c r="R23" s="10">
        <f>0.1504</f>
        <v>0.15040000000000001</v>
      </c>
      <c r="S23" s="10">
        <f>0.1693</f>
        <v>0.16930000000000001</v>
      </c>
      <c r="T23" s="10">
        <f>0.1799</f>
        <v>0.1799</v>
      </c>
      <c r="U23" s="10">
        <f>0.1486</f>
        <v>0.14860000000000001</v>
      </c>
      <c r="V23" s="10">
        <f>0.1383</f>
        <v>0.13830000000000001</v>
      </c>
      <c r="W23" s="10">
        <f>0.1328</f>
        <v>0.1328</v>
      </c>
      <c r="X23" s="10">
        <f>0.1315</f>
        <v>0.13150000000000001</v>
      </c>
      <c r="Y23" s="10">
        <f>0.1432</f>
        <v>0.14319999999999999</v>
      </c>
      <c r="Z23" s="10">
        <f>0.1404</f>
        <v>0.1404</v>
      </c>
      <c r="AA23" s="10">
        <f>0.1763</f>
        <v>0.17630000000000001</v>
      </c>
      <c r="AB23" s="10">
        <f>0.1525</f>
        <v>0.1525</v>
      </c>
      <c r="AC23" s="10">
        <f>0.1791</f>
        <v>0.17910000000000001</v>
      </c>
      <c r="AD23" s="10">
        <f>0.167</f>
        <v>0.16700000000000001</v>
      </c>
      <c r="AE23" s="10">
        <f>0.1641</f>
        <v>0.1641</v>
      </c>
      <c r="AF23" s="10">
        <f>0</f>
        <v>0</v>
      </c>
      <c r="AG23" s="10">
        <f>0.1543</f>
        <v>0.15429999999999999</v>
      </c>
      <c r="AH23" s="10">
        <f>0.1531</f>
        <v>0.15310000000000001</v>
      </c>
      <c r="AI23" s="10">
        <f>0</f>
        <v>0</v>
      </c>
      <c r="AJ23" s="10">
        <f>0.1591</f>
        <v>0.15909999999999999</v>
      </c>
      <c r="AK23" s="10">
        <f>0.1717</f>
        <v>0.17169999999999999</v>
      </c>
      <c r="AL23" s="10">
        <f>0.176</f>
        <v>0.17599999999999999</v>
      </c>
      <c r="AM23" s="10">
        <f>0.183</f>
        <v>0.183</v>
      </c>
      <c r="AN23" s="10">
        <f>0.1634</f>
        <v>0.16339999999999999</v>
      </c>
    </row>
    <row r="24" spans="1:40" x14ac:dyDescent="0.3">
      <c r="A24" s="13" t="s">
        <v>175</v>
      </c>
      <c r="B24" s="10">
        <f>0.1895</f>
        <v>0.1895</v>
      </c>
      <c r="C24" s="10">
        <v>0.19170000000000001</v>
      </c>
      <c r="D24" s="10">
        <f>0.1561</f>
        <v>0.15609999999999999</v>
      </c>
      <c r="E24" s="10">
        <f>0.1466</f>
        <v>0.14660000000000001</v>
      </c>
      <c r="F24" s="10">
        <f>0.1809</f>
        <v>0.18090000000000001</v>
      </c>
      <c r="G24" s="10">
        <f>0.2028</f>
        <v>0.20280000000000001</v>
      </c>
      <c r="H24" s="10">
        <f>0.1927</f>
        <v>0.19270000000000001</v>
      </c>
      <c r="I24" s="10">
        <f>0.1953</f>
        <v>0.1953</v>
      </c>
      <c r="J24" s="10">
        <f>0.198</f>
        <v>0.19800000000000001</v>
      </c>
      <c r="K24" s="10">
        <f>0.1457</f>
        <v>0.1457</v>
      </c>
      <c r="L24" s="10">
        <f>0.1547</f>
        <v>0.1547</v>
      </c>
      <c r="M24" s="10">
        <f>0.1384</f>
        <v>0.1384</v>
      </c>
      <c r="N24" s="10">
        <f>0.121</f>
        <v>0.121</v>
      </c>
      <c r="O24" s="10">
        <f>0.1363</f>
        <v>0.1363</v>
      </c>
      <c r="P24" s="10">
        <v>0.13650000000000001</v>
      </c>
      <c r="Q24" s="10" t="s">
        <v>160</v>
      </c>
      <c r="R24" s="10">
        <f>0.129</f>
        <v>0.129</v>
      </c>
      <c r="S24" s="10">
        <f>0.1952</f>
        <v>0.19520000000000001</v>
      </c>
      <c r="T24" s="10">
        <f>0.1981</f>
        <v>0.1981</v>
      </c>
      <c r="U24" s="10">
        <f>0.1457</f>
        <v>0.1457</v>
      </c>
      <c r="V24" s="10">
        <f>0.1345</f>
        <v>0.13450000000000001</v>
      </c>
      <c r="W24" s="10">
        <f>0.1356</f>
        <v>0.1356</v>
      </c>
      <c r="X24" s="10">
        <f>0.1239</f>
        <v>0.1239</v>
      </c>
      <c r="Y24" s="10">
        <f>0.1434</f>
        <v>0.1434</v>
      </c>
      <c r="Z24" s="10">
        <f>0.1365</f>
        <v>0.13650000000000001</v>
      </c>
      <c r="AA24" s="10">
        <f>0.1994</f>
        <v>0.19939999999999999</v>
      </c>
      <c r="AB24" s="10">
        <f>0.1461</f>
        <v>0.14610000000000001</v>
      </c>
      <c r="AC24" s="10">
        <f>0.196</f>
        <v>0.19600000000000001</v>
      </c>
      <c r="AD24" s="10">
        <f>0.157</f>
        <v>0.157</v>
      </c>
      <c r="AE24" s="10">
        <f>0.1579</f>
        <v>0.15790000000000001</v>
      </c>
      <c r="AF24" s="10">
        <f>0.1429</f>
        <v>0.1429</v>
      </c>
      <c r="AG24" s="10">
        <f>0.158</f>
        <v>0.158</v>
      </c>
      <c r="AH24" s="10">
        <f>0</f>
        <v>0</v>
      </c>
      <c r="AI24" s="10">
        <f>0</f>
        <v>0</v>
      </c>
      <c r="AJ24" s="10">
        <f>0.1799</f>
        <v>0.1799</v>
      </c>
      <c r="AK24" s="10">
        <f>0.1867</f>
        <v>0.1867</v>
      </c>
      <c r="AL24" s="10">
        <f>0.1778</f>
        <v>0.17780000000000001</v>
      </c>
      <c r="AM24" s="10">
        <f>0.1716</f>
        <v>0.1716</v>
      </c>
      <c r="AN24" s="10">
        <f>0.1778</f>
        <v>0.17780000000000001</v>
      </c>
    </row>
    <row r="25" spans="1:40" x14ac:dyDescent="0.3">
      <c r="A25" s="13" t="s">
        <v>176</v>
      </c>
      <c r="B25" s="10">
        <v>0.1895</v>
      </c>
      <c r="C25" s="10">
        <f>0.1805</f>
        <v>0.18049999999999999</v>
      </c>
      <c r="D25" s="10">
        <f>0.1493</f>
        <v>0.14929999999999999</v>
      </c>
      <c r="E25" s="10">
        <f>0.1615</f>
        <v>0.1615</v>
      </c>
      <c r="F25" s="10">
        <f>0.1726</f>
        <v>0.1726</v>
      </c>
      <c r="G25" s="10">
        <f>0.1821</f>
        <v>0.18210000000000001</v>
      </c>
      <c r="H25" s="10">
        <f>0.1797</f>
        <v>0.1797</v>
      </c>
      <c r="I25" s="10">
        <f>0.1767</f>
        <v>0.1767</v>
      </c>
      <c r="J25" s="10">
        <f>0.1818</f>
        <v>0.18179999999999999</v>
      </c>
      <c r="K25" s="10">
        <f>0.1584</f>
        <v>0.15840000000000001</v>
      </c>
      <c r="L25" s="10">
        <f>0.1467</f>
        <v>0.1467</v>
      </c>
      <c r="M25" s="10">
        <f>0.1463</f>
        <v>0.14630000000000001</v>
      </c>
      <c r="N25" s="10">
        <f>0.131</f>
        <v>0.13100000000000001</v>
      </c>
      <c r="O25" s="10">
        <f>0.1445</f>
        <v>0.14449999999999999</v>
      </c>
      <c r="P25" s="10">
        <f>0.1383</f>
        <v>0.13830000000000001</v>
      </c>
      <c r="Q25" s="10">
        <f>0</f>
        <v>0</v>
      </c>
      <c r="R25" s="10">
        <f>0.1437</f>
        <v>0.14369999999999999</v>
      </c>
      <c r="S25" s="10">
        <f>0.177</f>
        <v>0.17699999999999999</v>
      </c>
      <c r="T25" s="10">
        <f>0.1808</f>
        <v>0.18079999999999999</v>
      </c>
      <c r="U25" s="10">
        <f>0.1514</f>
        <v>0.15140000000000001</v>
      </c>
      <c r="V25" s="10">
        <f>0</f>
        <v>0</v>
      </c>
      <c r="W25" s="10">
        <f>0.1455</f>
        <v>0.14549999999999999</v>
      </c>
      <c r="X25" s="10">
        <f>0</f>
        <v>0</v>
      </c>
      <c r="Y25" s="10">
        <f>0.1412</f>
        <v>0.14119999999999999</v>
      </c>
      <c r="Z25" s="10">
        <f>0.1445</f>
        <v>0.14449999999999999</v>
      </c>
      <c r="AA25" s="10">
        <f>0.1803</f>
        <v>0.18029999999999999</v>
      </c>
      <c r="AB25" s="10">
        <f>0.151</f>
        <v>0.151</v>
      </c>
      <c r="AC25" s="10">
        <f>0.1854</f>
        <v>0.18540000000000001</v>
      </c>
      <c r="AD25" s="10">
        <f>0.1725</f>
        <v>0.17249999999999999</v>
      </c>
      <c r="AE25" s="10">
        <f>0.1673</f>
        <v>0.1673</v>
      </c>
      <c r="AF25" s="10">
        <f>0.164</f>
        <v>0.16400000000000001</v>
      </c>
      <c r="AG25" s="10">
        <f>0.1752</f>
        <v>0.17519999999999999</v>
      </c>
      <c r="AH25" s="10">
        <f>0.1634</f>
        <v>0.16339999999999999</v>
      </c>
      <c r="AI25" s="10">
        <f>0.1579</f>
        <v>0.15790000000000001</v>
      </c>
      <c r="AJ25" s="10">
        <f>0.1581</f>
        <v>0.15809999999999999</v>
      </c>
      <c r="AK25" s="10">
        <f>0.1755</f>
        <v>0.17549999999999999</v>
      </c>
      <c r="AL25" s="10">
        <f>0.1757</f>
        <v>0.1757</v>
      </c>
      <c r="AM25" s="10">
        <f>0.1747</f>
        <v>0.17469999999999999</v>
      </c>
      <c r="AN25" s="10">
        <f>0.1744</f>
        <v>0.1744</v>
      </c>
    </row>
    <row r="26" spans="1:40" x14ac:dyDescent="0.3">
      <c r="A26" s="13" t="s">
        <v>177</v>
      </c>
      <c r="B26" s="10">
        <v>9.8299999999999998E-2</v>
      </c>
      <c r="C26" s="10">
        <v>0.10100000000000001</v>
      </c>
      <c r="D26" s="10">
        <f>0.092</f>
        <v>9.1999999999999998E-2</v>
      </c>
      <c r="E26" s="10">
        <f>0.0905</f>
        <v>9.0499999999999997E-2</v>
      </c>
      <c r="F26" s="10">
        <f>0.0975</f>
        <v>9.7500000000000003E-2</v>
      </c>
      <c r="G26" s="10">
        <f>0.1056</f>
        <v>0.1056</v>
      </c>
      <c r="H26" s="10">
        <f>0.0988</f>
        <v>9.8799999999999999E-2</v>
      </c>
      <c r="I26" s="10">
        <f>0.0998</f>
        <v>9.98E-2</v>
      </c>
      <c r="J26" s="10">
        <f>0.1009</f>
        <v>0.1009</v>
      </c>
      <c r="K26" s="10">
        <f>0.0915</f>
        <v>9.1499999999999998E-2</v>
      </c>
      <c r="L26" s="10">
        <v>9.2600000000000002E-2</v>
      </c>
      <c r="M26" s="10">
        <f>0</f>
        <v>0</v>
      </c>
      <c r="N26" s="10">
        <f>0</f>
        <v>0</v>
      </c>
      <c r="O26" s="10">
        <f>0</f>
        <v>0</v>
      </c>
      <c r="P26" s="10">
        <f>0</f>
        <v>0</v>
      </c>
      <c r="Q26" s="10">
        <f>0</f>
        <v>0</v>
      </c>
      <c r="R26" s="10">
        <f>0</f>
        <v>0</v>
      </c>
      <c r="S26" s="10">
        <f>0.0981</f>
        <v>9.8100000000000007E-2</v>
      </c>
      <c r="T26" s="10">
        <f>0.0988</f>
        <v>9.8799999999999999E-2</v>
      </c>
      <c r="U26" s="10">
        <f>0</f>
        <v>0</v>
      </c>
      <c r="V26" s="10">
        <f>0</f>
        <v>0</v>
      </c>
      <c r="W26" s="10">
        <f>0</f>
        <v>0</v>
      </c>
      <c r="X26" s="10">
        <f>0</f>
        <v>0</v>
      </c>
      <c r="Y26" s="10">
        <f>0</f>
        <v>0</v>
      </c>
      <c r="Z26" s="10">
        <f>0</f>
        <v>0</v>
      </c>
      <c r="AA26" s="10">
        <f>0.0955</f>
        <v>9.5500000000000002E-2</v>
      </c>
      <c r="AB26" s="10">
        <f>0.0847</f>
        <v>8.4699999999999998E-2</v>
      </c>
      <c r="AC26" s="10">
        <f>0.1025</f>
        <v>0.10249999999999999</v>
      </c>
      <c r="AD26" s="10">
        <f>0</f>
        <v>0</v>
      </c>
      <c r="AE26" s="10">
        <f>0</f>
        <v>0</v>
      </c>
      <c r="AF26" s="10">
        <f>0.0855</f>
        <v>8.5500000000000007E-2</v>
      </c>
      <c r="AG26" s="10">
        <v>0</v>
      </c>
      <c r="AH26" s="10">
        <f>0</f>
        <v>0</v>
      </c>
      <c r="AI26" s="10">
        <f>0</f>
        <v>0</v>
      </c>
      <c r="AJ26" s="10">
        <f>0.0963</f>
        <v>9.6299999999999997E-2</v>
      </c>
      <c r="AK26" s="10">
        <f>0.096</f>
        <v>9.6000000000000002E-2</v>
      </c>
      <c r="AL26" s="10">
        <f>0.0989</f>
        <v>9.8900000000000002E-2</v>
      </c>
      <c r="AM26" s="10">
        <f>0.0966</f>
        <v>9.6600000000000005E-2</v>
      </c>
      <c r="AN26" s="10">
        <f>0.1042</f>
        <v>0.1042</v>
      </c>
    </row>
    <row r="27" spans="1:40" x14ac:dyDescent="0.3">
      <c r="A27" s="13" t="s">
        <v>178</v>
      </c>
      <c r="B27" s="10">
        <f>0.2632</f>
        <v>0.26319999999999999</v>
      </c>
      <c r="C27" s="10">
        <f>0.2555</f>
        <v>0.2555</v>
      </c>
      <c r="D27" s="10">
        <f>0.2236</f>
        <v>0.22359999999999999</v>
      </c>
      <c r="E27" s="10">
        <f>0.2456</f>
        <v>0.24560000000000001</v>
      </c>
      <c r="F27" s="10">
        <f>0.2322</f>
        <v>0.23219999999999999</v>
      </c>
      <c r="G27" s="10">
        <f>0.2504</f>
        <v>0.25040000000000001</v>
      </c>
      <c r="H27" s="10">
        <f>0.2755</f>
        <v>0.27550000000000002</v>
      </c>
      <c r="I27" s="10">
        <f>0.2828</f>
        <v>0.2828</v>
      </c>
      <c r="J27" s="10">
        <f>0.2688</f>
        <v>0.26879999999999998</v>
      </c>
      <c r="K27" s="10">
        <f>0.24</f>
        <v>0.24</v>
      </c>
      <c r="L27" s="1">
        <f>0.2471</f>
        <v>0.24709999999999999</v>
      </c>
      <c r="M27" s="10">
        <f>0.2179</f>
        <v>0.21790000000000001</v>
      </c>
      <c r="N27" s="10">
        <f>0</f>
        <v>0</v>
      </c>
      <c r="O27" s="10">
        <v>0.19470000000000001</v>
      </c>
      <c r="P27" s="10">
        <f>0.2166</f>
        <v>0.21659999999999999</v>
      </c>
      <c r="Q27" s="10">
        <f>0</f>
        <v>0</v>
      </c>
      <c r="R27" s="10">
        <f>0.236</f>
        <v>0.23599999999999999</v>
      </c>
      <c r="S27" s="10">
        <f>0.2592</f>
        <v>0.25919999999999999</v>
      </c>
      <c r="T27" s="10">
        <f>0.2438</f>
        <v>0.24379999999999999</v>
      </c>
      <c r="U27" s="10">
        <f>0.2335</f>
        <v>0.23350000000000001</v>
      </c>
      <c r="V27" s="10">
        <f>0.1947</f>
        <v>0.19470000000000001</v>
      </c>
      <c r="W27" s="10">
        <f>0.2169</f>
        <v>0.21690000000000001</v>
      </c>
      <c r="X27" s="10">
        <f>0</f>
        <v>0</v>
      </c>
      <c r="Y27" s="10">
        <f>0.2366</f>
        <v>0.2366</v>
      </c>
      <c r="Z27" s="10">
        <f>0.2068</f>
        <v>0.20680000000000001</v>
      </c>
      <c r="AA27" s="10">
        <f>0.2466</f>
        <v>0.24660000000000001</v>
      </c>
      <c r="AB27" s="10">
        <f>0.2308</f>
        <v>0.23080000000000001</v>
      </c>
      <c r="AC27" s="10">
        <f>0.2518</f>
        <v>0.25180000000000002</v>
      </c>
      <c r="AD27" s="10">
        <f>0.2404</f>
        <v>0.2404</v>
      </c>
      <c r="AE27" s="10">
        <f>0.2434</f>
        <v>0.24340000000000001</v>
      </c>
      <c r="AF27" s="10">
        <f>0</f>
        <v>0</v>
      </c>
      <c r="AG27" s="10">
        <f>0.2565</f>
        <v>0.25650000000000001</v>
      </c>
      <c r="AH27" s="10">
        <f>0</f>
        <v>0</v>
      </c>
      <c r="AI27" s="10">
        <f>0.2208</f>
        <v>0.2208</v>
      </c>
      <c r="AJ27" s="10">
        <f>0.2349</f>
        <v>0.2349</v>
      </c>
      <c r="AK27" s="10">
        <f>0.2556</f>
        <v>0.25559999999999999</v>
      </c>
      <c r="AL27" s="10">
        <f>0.2628</f>
        <v>0.26279999999999998</v>
      </c>
      <c r="AM27" s="10">
        <v>0.25409999999999999</v>
      </c>
      <c r="AN27" s="10">
        <f>0.26</f>
        <v>0.26</v>
      </c>
    </row>
    <row r="28" spans="1:40" x14ac:dyDescent="0.3">
      <c r="A28" s="13" t="s">
        <v>179</v>
      </c>
      <c r="B28" s="10">
        <f>0.2019</f>
        <v>0.2019</v>
      </c>
      <c r="C28" s="10">
        <f>0.1979</f>
        <v>0.19789999999999999</v>
      </c>
      <c r="D28" s="10">
        <f>0.1781</f>
        <v>0.17810000000000001</v>
      </c>
      <c r="E28" s="10">
        <f>0.1796</f>
        <v>0.17960000000000001</v>
      </c>
      <c r="F28" s="10">
        <f>0.1909</f>
        <v>0.19089999999999999</v>
      </c>
      <c r="G28" s="10">
        <f>0</f>
        <v>0</v>
      </c>
      <c r="H28" s="10">
        <f>0.1969</f>
        <v>0.19689999999999999</v>
      </c>
      <c r="I28" s="10">
        <f>0.2029</f>
        <v>0.2029</v>
      </c>
      <c r="J28" s="10">
        <f>0.1961</f>
        <v>0.1961</v>
      </c>
      <c r="K28" s="10">
        <f>0.1791</f>
        <v>0.17910000000000001</v>
      </c>
      <c r="L28" s="10">
        <f>0.1827</f>
        <v>0.1827</v>
      </c>
      <c r="M28" s="10">
        <f>0.1697</f>
        <v>0.16969999999999999</v>
      </c>
      <c r="N28" s="10">
        <f>0.1584</f>
        <v>0.15840000000000001</v>
      </c>
      <c r="O28" s="10">
        <f>0</f>
        <v>0</v>
      </c>
      <c r="P28" s="10">
        <f>0.1703</f>
        <v>0.17030000000000001</v>
      </c>
      <c r="Q28" s="10">
        <f>0</f>
        <v>0</v>
      </c>
      <c r="R28" s="10">
        <f>0.1644</f>
        <v>0.16439999999999999</v>
      </c>
      <c r="S28" s="10">
        <f>0</f>
        <v>0</v>
      </c>
      <c r="T28" s="10">
        <f>0.2022</f>
        <v>0.20219999999999999</v>
      </c>
      <c r="U28" s="10">
        <f>0.1696</f>
        <v>0.1696</v>
      </c>
      <c r="V28" s="10">
        <f>0.1706</f>
        <v>0.1706</v>
      </c>
      <c r="W28" s="10">
        <f>0</f>
        <v>0</v>
      </c>
      <c r="X28" s="10">
        <f>0</f>
        <v>0</v>
      </c>
      <c r="Y28" s="10">
        <f>0</f>
        <v>0</v>
      </c>
      <c r="Z28" s="10">
        <f>0.1665</f>
        <v>0.16650000000000001</v>
      </c>
      <c r="AA28" s="10">
        <f>0.2033</f>
        <v>0.20330000000000001</v>
      </c>
      <c r="AB28" s="10">
        <f>0.1748</f>
        <v>0.17480000000000001</v>
      </c>
      <c r="AC28" s="10">
        <f>0.2085</f>
        <v>0.20849999999999999</v>
      </c>
      <c r="AD28" s="10">
        <f>0.2041</f>
        <v>0.2041</v>
      </c>
      <c r="AE28" s="10">
        <f>0.2056</f>
        <v>0.2056</v>
      </c>
      <c r="AF28" s="10">
        <f>0</f>
        <v>0</v>
      </c>
      <c r="AG28" s="10">
        <f>0.205</f>
        <v>0.20499999999999999</v>
      </c>
      <c r="AH28" s="10">
        <f>0.1892</f>
        <v>0.18920000000000001</v>
      </c>
      <c r="AI28" s="10">
        <f>0.1926</f>
        <v>0.19259999999999999</v>
      </c>
      <c r="AJ28" s="10">
        <f>0.1832</f>
        <v>0.1832</v>
      </c>
      <c r="AK28" s="10">
        <f>0.2055</f>
        <v>0.20549999999999999</v>
      </c>
      <c r="AL28" s="10">
        <f>0.204</f>
        <v>0.20399999999999999</v>
      </c>
      <c r="AM28" s="10">
        <f>0.2053</f>
        <v>0.20530000000000001</v>
      </c>
      <c r="AN28" s="10">
        <f>0.1951</f>
        <v>0.1951</v>
      </c>
    </row>
    <row r="29" spans="1:40" x14ac:dyDescent="0.3">
      <c r="A29" s="13" t="s">
        <v>180</v>
      </c>
      <c r="B29" s="10">
        <f>0.3021</f>
        <v>0.30209999999999998</v>
      </c>
      <c r="C29" s="10">
        <f>0.2781</f>
        <v>0.27810000000000001</v>
      </c>
      <c r="D29" s="10">
        <f>0.2574</f>
        <v>0.25740000000000002</v>
      </c>
      <c r="E29" s="10">
        <f>0.275</f>
        <v>0.27500000000000002</v>
      </c>
      <c r="F29" s="10">
        <f>0.2743</f>
        <v>0.27429999999999999</v>
      </c>
      <c r="G29" s="10">
        <f>0.2911</f>
        <v>0.29110000000000003</v>
      </c>
      <c r="H29" s="10">
        <f>0.292</f>
        <v>0.29199999999999998</v>
      </c>
      <c r="I29" s="10">
        <f>0.2949</f>
        <v>0.2949</v>
      </c>
      <c r="J29" s="10">
        <f>0.2982</f>
        <v>0.29820000000000002</v>
      </c>
      <c r="K29" s="10">
        <f>0.2555</f>
        <v>0.2555</v>
      </c>
      <c r="L29" s="10">
        <f>0.258</f>
        <v>0.25800000000000001</v>
      </c>
      <c r="M29" s="10">
        <f>0.2431</f>
        <v>0.24310000000000001</v>
      </c>
      <c r="N29" s="10">
        <f>0.2239</f>
        <v>0.22389999999999999</v>
      </c>
      <c r="O29" s="10">
        <f>0.2624</f>
        <v>0.26240000000000002</v>
      </c>
      <c r="P29" s="10">
        <f>0.2404</f>
        <v>0.2404</v>
      </c>
      <c r="Q29" s="10">
        <f>0.2522</f>
        <v>0.25219999999999998</v>
      </c>
      <c r="R29" s="10">
        <f>0.2633</f>
        <v>0.26329999999999998</v>
      </c>
      <c r="S29" s="10">
        <f>0.3041</f>
        <v>0.30409999999999998</v>
      </c>
      <c r="T29" s="10">
        <f>0.2841</f>
        <v>0.28410000000000002</v>
      </c>
      <c r="U29" s="10">
        <f>0.2474</f>
        <v>0.24740000000000001</v>
      </c>
      <c r="V29" s="10">
        <f>0.2502</f>
        <v>0.25019999999999998</v>
      </c>
      <c r="W29" s="10">
        <f>0.2169</f>
        <v>0.21690000000000001</v>
      </c>
      <c r="X29" s="10">
        <f>0.241</f>
        <v>0.24099999999999999</v>
      </c>
      <c r="Y29" s="10">
        <f>0.2593</f>
        <v>0.25929999999999997</v>
      </c>
      <c r="Z29" s="10">
        <f>0.2558</f>
        <v>0.25580000000000003</v>
      </c>
      <c r="AA29" s="10">
        <f>0.2982</f>
        <v>0.29820000000000002</v>
      </c>
      <c r="AB29" s="10">
        <f>0.2614</f>
        <v>0.26140000000000002</v>
      </c>
      <c r="AC29" s="10">
        <f>0.3132</f>
        <v>0.31319999999999998</v>
      </c>
      <c r="AD29" s="10">
        <f>0.3077</f>
        <v>0.30769999999999997</v>
      </c>
      <c r="AE29" s="10">
        <f>0.296</f>
        <v>0.29599999999999999</v>
      </c>
      <c r="AF29" s="10">
        <f>0.2561</f>
        <v>0.25609999999999999</v>
      </c>
      <c r="AG29" s="10">
        <f>0.3063</f>
        <v>0.30630000000000002</v>
      </c>
      <c r="AH29" s="10">
        <f>0.2415</f>
        <v>0.24149999999999999</v>
      </c>
      <c r="AI29" s="10">
        <f>0.2573</f>
        <v>0.25729999999999997</v>
      </c>
      <c r="AJ29" s="10">
        <f>0</f>
        <v>0</v>
      </c>
      <c r="AK29" s="10">
        <f>0.2857</f>
        <v>0.28570000000000001</v>
      </c>
      <c r="AL29" s="10">
        <f>0.2883</f>
        <v>0.2883</v>
      </c>
      <c r="AM29" s="10">
        <f>0.3132</f>
        <v>0.31319999999999998</v>
      </c>
      <c r="AN29" s="10">
        <f>0.2813</f>
        <v>0.28129999999999999</v>
      </c>
    </row>
    <row r="30" spans="1:40" x14ac:dyDescent="0.3">
      <c r="A30" s="13" t="s">
        <v>181</v>
      </c>
      <c r="B30" s="10">
        <v>0.60150000000000003</v>
      </c>
      <c r="C30" s="10">
        <f>0</f>
        <v>0</v>
      </c>
      <c r="D30" s="10">
        <f>0.5741</f>
        <v>0.57410000000000005</v>
      </c>
      <c r="E30" s="10">
        <f>0.5736</f>
        <v>0.5736</v>
      </c>
      <c r="F30" s="10">
        <f>0</f>
        <v>0</v>
      </c>
      <c r="G30" s="10" t="s">
        <v>160</v>
      </c>
      <c r="H30" s="10">
        <f>0.6794</f>
        <v>0.6794</v>
      </c>
      <c r="I30" s="10">
        <f>0.6379</f>
        <v>0.63790000000000002</v>
      </c>
      <c r="J30" s="10">
        <f>0</f>
        <v>0</v>
      </c>
      <c r="K30" s="10">
        <f>0</f>
        <v>0</v>
      </c>
      <c r="L30" s="10">
        <f>0</f>
        <v>0</v>
      </c>
      <c r="M30" s="10">
        <f>0</f>
        <v>0</v>
      </c>
      <c r="N30" s="10">
        <f>0.5672</f>
        <v>0.56720000000000004</v>
      </c>
      <c r="O30" s="10">
        <f>0.5976</f>
        <v>0.59760000000000002</v>
      </c>
      <c r="P30" s="10">
        <f>0.5701</f>
        <v>0.57010000000000005</v>
      </c>
      <c r="Q30" s="10">
        <f>0.5236</f>
        <v>0.52359999999999995</v>
      </c>
      <c r="R30" s="10">
        <f>0.5791</f>
        <v>0.57909999999999995</v>
      </c>
      <c r="S30" s="10">
        <f>0</f>
        <v>0</v>
      </c>
      <c r="T30" s="10">
        <f>0</f>
        <v>0</v>
      </c>
      <c r="U30" s="10">
        <f>0.5382</f>
        <v>0.53820000000000001</v>
      </c>
      <c r="V30" s="10">
        <f>0.5974</f>
        <v>0.59740000000000004</v>
      </c>
      <c r="W30" s="10">
        <f>0.5655</f>
        <v>0.5655</v>
      </c>
      <c r="X30" s="10" t="s">
        <v>160</v>
      </c>
      <c r="Y30" s="10">
        <f>0.5187</f>
        <v>0.51870000000000005</v>
      </c>
      <c r="Z30" s="10">
        <f>0.5313</f>
        <v>0.53129999999999999</v>
      </c>
      <c r="AA30" s="10">
        <f>0</f>
        <v>0</v>
      </c>
      <c r="AB30" s="10">
        <f>0.6044</f>
        <v>0.60440000000000005</v>
      </c>
      <c r="AC30" s="10">
        <f>0.7019</f>
        <v>0.70189999999999997</v>
      </c>
      <c r="AD30" s="10">
        <f>0</f>
        <v>0</v>
      </c>
      <c r="AE30" s="10">
        <f>0</f>
        <v>0</v>
      </c>
      <c r="AF30" s="10">
        <f>0.6284</f>
        <v>0.62839999999999996</v>
      </c>
      <c r="AG30" s="10">
        <f>0.6447</f>
        <v>0.64470000000000005</v>
      </c>
      <c r="AH30" s="10">
        <f>0.5896</f>
        <v>0.58960000000000001</v>
      </c>
      <c r="AI30" s="10">
        <f>0</f>
        <v>0</v>
      </c>
      <c r="AJ30" s="10">
        <f>0</f>
        <v>0</v>
      </c>
      <c r="AK30" s="10">
        <f>0.667</f>
        <v>0.66700000000000004</v>
      </c>
      <c r="AL30" s="10">
        <f>0.655</f>
        <v>0.65500000000000003</v>
      </c>
      <c r="AM30" s="10">
        <f>0.6534</f>
        <v>0.65339999999999998</v>
      </c>
      <c r="AN30" s="10">
        <f>0.6604</f>
        <v>0.66039999999999999</v>
      </c>
    </row>
    <row r="31" spans="1:40" x14ac:dyDescent="0.3">
      <c r="A31" s="13" t="s">
        <v>182</v>
      </c>
      <c r="B31" s="10">
        <f>0.1182</f>
        <v>0.1182</v>
      </c>
      <c r="C31" s="10">
        <f>0.1131</f>
        <v>0.11310000000000001</v>
      </c>
      <c r="D31" s="10">
        <f>0.1018</f>
        <v>0.1018</v>
      </c>
      <c r="E31" s="10">
        <f>0.1024</f>
        <v>0.1024</v>
      </c>
      <c r="F31" s="10">
        <f>0</f>
        <v>0</v>
      </c>
      <c r="G31" s="10">
        <f>0</f>
        <v>0</v>
      </c>
      <c r="H31" s="10">
        <f>0.1181</f>
        <v>0.1181</v>
      </c>
      <c r="I31" s="10">
        <f>0.1113</f>
        <v>0.1113</v>
      </c>
      <c r="J31" s="10">
        <f>0.1177</f>
        <v>0.1177</v>
      </c>
      <c r="K31" s="10">
        <f>0.1032</f>
        <v>0.1032</v>
      </c>
      <c r="L31" s="10">
        <f>0.1011</f>
        <v>0.1011</v>
      </c>
      <c r="M31" s="10">
        <f>0.0992</f>
        <v>9.9199999999999997E-2</v>
      </c>
      <c r="N31" s="10">
        <f>0.0892</f>
        <v>8.9200000000000002E-2</v>
      </c>
      <c r="O31" s="10">
        <f>0</f>
        <v>0</v>
      </c>
      <c r="P31" s="10">
        <f>0</f>
        <v>0</v>
      </c>
      <c r="Q31" s="10">
        <f>0</f>
        <v>0</v>
      </c>
      <c r="R31" s="10">
        <f>0.0954</f>
        <v>9.5399999999999999E-2</v>
      </c>
      <c r="S31" s="10">
        <f>0.1129</f>
        <v>0.1129</v>
      </c>
      <c r="T31" s="10">
        <f>0.1142</f>
        <v>0.1142</v>
      </c>
      <c r="U31" s="10">
        <f>0.0993</f>
        <v>9.9299999999999999E-2</v>
      </c>
      <c r="V31" s="10">
        <f>0</f>
        <v>0</v>
      </c>
      <c r="W31" s="10">
        <f>0</f>
        <v>0</v>
      </c>
      <c r="X31" s="10">
        <f>0.0913</f>
        <v>9.1300000000000006E-2</v>
      </c>
      <c r="Y31" s="10">
        <f>0</f>
        <v>0</v>
      </c>
      <c r="Z31" s="10">
        <f>0.1022</f>
        <v>0.1022</v>
      </c>
      <c r="AA31" s="10">
        <f>0.1159</f>
        <v>0.1159</v>
      </c>
      <c r="AB31" s="10">
        <f>0.1015</f>
        <v>0.10150000000000001</v>
      </c>
      <c r="AC31" s="10">
        <f>0.1175</f>
        <v>0.11749999999999999</v>
      </c>
      <c r="AD31" s="10">
        <f>0</f>
        <v>0</v>
      </c>
      <c r="AE31" s="10">
        <f>0</f>
        <v>0</v>
      </c>
      <c r="AF31" s="10">
        <f>0</f>
        <v>0</v>
      </c>
      <c r="AG31" s="10">
        <f>0</f>
        <v>0</v>
      </c>
      <c r="AH31" s="10">
        <f>0.1079</f>
        <v>0.1079</v>
      </c>
      <c r="AI31" s="10">
        <f>0</f>
        <v>0</v>
      </c>
      <c r="AJ31" s="10">
        <f>0</f>
        <v>0</v>
      </c>
      <c r="AK31" s="10">
        <f>0.1166</f>
        <v>0.1166</v>
      </c>
      <c r="AL31" s="10">
        <f>0.1169</f>
        <v>0.1169</v>
      </c>
      <c r="AM31" s="10">
        <f>0.1134</f>
        <v>0.1134</v>
      </c>
      <c r="AN31" s="10">
        <f>0.1097</f>
        <v>0.10970000000000001</v>
      </c>
    </row>
    <row r="32" spans="1:40" x14ac:dyDescent="0.3">
      <c r="A32" s="13" t="s">
        <v>183</v>
      </c>
      <c r="B32" s="10">
        <f>0.1279</f>
        <v>0.12790000000000001</v>
      </c>
      <c r="C32" s="10">
        <f>0.1248</f>
        <v>0.12479999999999999</v>
      </c>
      <c r="D32" s="10">
        <v>0.11310000000000001</v>
      </c>
      <c r="E32" s="10">
        <f>0.1155</f>
        <v>0.11550000000000001</v>
      </c>
      <c r="F32" s="10">
        <f>0.1237</f>
        <v>0.1237</v>
      </c>
      <c r="G32" s="10">
        <f>0.1214</f>
        <v>0.12139999999999999</v>
      </c>
      <c r="H32" s="10">
        <f>0.1253</f>
        <v>0.12529999999999999</v>
      </c>
      <c r="I32" s="10">
        <f>0.1232</f>
        <v>0.1232</v>
      </c>
      <c r="J32" s="10">
        <f>0.128</f>
        <v>0.128</v>
      </c>
      <c r="K32" s="10">
        <f>0.116</f>
        <v>0.11600000000000001</v>
      </c>
      <c r="L32" s="10">
        <f>0.1116</f>
        <v>0.1116</v>
      </c>
      <c r="M32" s="10">
        <f>0.1048</f>
        <v>0.1048</v>
      </c>
      <c r="N32" s="10">
        <f>0</f>
        <v>0</v>
      </c>
      <c r="O32" s="10">
        <f>0</f>
        <v>0</v>
      </c>
      <c r="P32" s="10">
        <f>0</f>
        <v>0</v>
      </c>
      <c r="Q32" s="10">
        <f>0.0979</f>
        <v>9.7900000000000001E-2</v>
      </c>
      <c r="R32" s="10">
        <f>0.1067</f>
        <v>0.1067</v>
      </c>
      <c r="S32" s="10">
        <f>0.1262</f>
        <v>0.12620000000000001</v>
      </c>
      <c r="T32" s="10">
        <f>0.1233</f>
        <v>0.12330000000000001</v>
      </c>
      <c r="U32" s="10" t="s">
        <v>160</v>
      </c>
      <c r="V32" s="10">
        <f>0</f>
        <v>0</v>
      </c>
      <c r="W32" s="10">
        <f>0</f>
        <v>0</v>
      </c>
      <c r="X32" s="10">
        <f>0.0973</f>
        <v>9.7299999999999998E-2</v>
      </c>
      <c r="Y32" s="10">
        <f>0.1059</f>
        <v>0.10589999999999999</v>
      </c>
      <c r="Z32" s="10">
        <f>0.1032</f>
        <v>0.1032</v>
      </c>
      <c r="AA32" s="10">
        <f>0.1259</f>
        <v>0.12590000000000001</v>
      </c>
      <c r="AB32" s="10">
        <f>0.1146</f>
        <v>0.11459999999999999</v>
      </c>
      <c r="AC32" s="10">
        <f>0.1302</f>
        <v>0.13020000000000001</v>
      </c>
      <c r="AD32" s="10">
        <f>0.1282</f>
        <v>0.12820000000000001</v>
      </c>
      <c r="AE32" s="10">
        <f>0.1264</f>
        <v>0.12640000000000001</v>
      </c>
      <c r="AF32" s="10">
        <f>0</f>
        <v>0</v>
      </c>
      <c r="AG32" s="10">
        <f>0.1234</f>
        <v>0.1234</v>
      </c>
      <c r="AH32" s="10">
        <f>0.1188</f>
        <v>0.1188</v>
      </c>
      <c r="AI32" s="10">
        <f>0</f>
        <v>0</v>
      </c>
      <c r="AJ32" s="10">
        <f>0.1119</f>
        <v>0.1119</v>
      </c>
      <c r="AK32" s="10">
        <f>0.1272</f>
        <v>0.12720000000000001</v>
      </c>
      <c r="AL32" s="10">
        <f>0.1285</f>
        <v>0.1285</v>
      </c>
      <c r="AM32" s="10">
        <f>0.1271</f>
        <v>0.12709999999999999</v>
      </c>
      <c r="AN32" s="10">
        <f>0.128</f>
        <v>0.128</v>
      </c>
    </row>
    <row r="33" spans="1:40" x14ac:dyDescent="0.3">
      <c r="A33" s="13" t="s">
        <v>184</v>
      </c>
      <c r="B33" s="10">
        <f>0.1316</f>
        <v>0.13159999999999999</v>
      </c>
      <c r="C33" s="10">
        <f>0.1354</f>
        <v>0.13539999999999999</v>
      </c>
      <c r="D33" s="10">
        <f>0.1184</f>
        <v>0.11840000000000001</v>
      </c>
      <c r="E33" s="10">
        <f>0.1154</f>
        <v>0.1154</v>
      </c>
      <c r="F33" s="10">
        <f>0.1278</f>
        <v>0.1278</v>
      </c>
      <c r="G33" s="10">
        <f>0.1259</f>
        <v>0.12590000000000001</v>
      </c>
      <c r="H33" s="10">
        <f>0</f>
        <v>0</v>
      </c>
      <c r="I33" s="10">
        <v>0.1338</v>
      </c>
      <c r="J33" s="10">
        <f>0</f>
        <v>0</v>
      </c>
      <c r="K33" s="10">
        <f>0.1171</f>
        <v>0.1171</v>
      </c>
      <c r="L33" s="10">
        <f>0.1194</f>
        <v>0.11940000000000001</v>
      </c>
      <c r="M33" s="10">
        <f>0.1079</f>
        <v>0.1079</v>
      </c>
      <c r="N33" s="10">
        <f>0.0997</f>
        <v>9.9699999999999997E-2</v>
      </c>
      <c r="O33" s="10">
        <f>0.1064</f>
        <v>0.10639999999999999</v>
      </c>
      <c r="P33" s="10">
        <f>0.116</f>
        <v>0.11600000000000001</v>
      </c>
      <c r="Q33" s="10">
        <f>0</f>
        <v>0</v>
      </c>
      <c r="R33" s="10">
        <f>0.1154</f>
        <v>0.1154</v>
      </c>
      <c r="S33" s="10">
        <f>0.1354</f>
        <v>0.13539999999999999</v>
      </c>
      <c r="T33" s="10">
        <f>0</f>
        <v>0</v>
      </c>
      <c r="U33" s="10">
        <f>0.1133</f>
        <v>0.1133</v>
      </c>
      <c r="V33" s="10">
        <f>0.1108</f>
        <v>0.1108</v>
      </c>
      <c r="W33" s="10">
        <f>0.1124</f>
        <v>0.1124</v>
      </c>
      <c r="X33" s="10">
        <f>0.1023</f>
        <v>0.1023</v>
      </c>
      <c r="Y33" s="10">
        <f>0.1075</f>
        <v>0.1075</v>
      </c>
      <c r="Z33" s="10">
        <f>0.1172</f>
        <v>0.1172</v>
      </c>
      <c r="AA33" s="10">
        <f>0</f>
        <v>0</v>
      </c>
      <c r="AB33" s="10">
        <f>0.1199</f>
        <v>0.11990000000000001</v>
      </c>
      <c r="AC33" s="10">
        <f>0.1365</f>
        <v>0.13650000000000001</v>
      </c>
      <c r="AD33" s="10">
        <f>0.1331</f>
        <v>0.1331</v>
      </c>
      <c r="AE33" s="10">
        <f>0.1305</f>
        <v>0.1305</v>
      </c>
      <c r="AF33" s="10">
        <f>0.1277</f>
        <v>0.12770000000000001</v>
      </c>
      <c r="AG33" s="10">
        <f>0.1297</f>
        <v>0.12970000000000001</v>
      </c>
      <c r="AH33" s="10">
        <f>0.1235</f>
        <v>0.1235</v>
      </c>
      <c r="AI33" s="10">
        <f>0</f>
        <v>0</v>
      </c>
      <c r="AJ33" s="10">
        <f>0</f>
        <v>0</v>
      </c>
      <c r="AK33" s="10">
        <f>0.1394</f>
        <v>0.1394</v>
      </c>
      <c r="AL33" s="10">
        <f>0.1357</f>
        <v>0.13569999999999999</v>
      </c>
      <c r="AM33" s="10">
        <f>0.1352</f>
        <v>0.13519999999999999</v>
      </c>
      <c r="AN33" s="10">
        <f>0.1323</f>
        <v>0.1323</v>
      </c>
    </row>
    <row r="34" spans="1:40" x14ac:dyDescent="0.3">
      <c r="A34" s="13" t="s">
        <v>185</v>
      </c>
      <c r="B34" s="10">
        <f>0.0869</f>
        <v>8.6900000000000005E-2</v>
      </c>
      <c r="C34" s="10">
        <f>0.0858</f>
        <v>8.5800000000000001E-2</v>
      </c>
      <c r="D34" s="10">
        <f>0.0817</f>
        <v>8.1699999999999995E-2</v>
      </c>
      <c r="E34" s="10">
        <f>0.0788</f>
        <v>7.8799999999999995E-2</v>
      </c>
      <c r="F34" s="10">
        <f>0.0798</f>
        <v>7.9799999999999996E-2</v>
      </c>
      <c r="G34" s="10">
        <f>0.0864</f>
        <v>8.6400000000000005E-2</v>
      </c>
      <c r="H34" s="10">
        <f>0.0922</f>
        <v>9.2200000000000004E-2</v>
      </c>
      <c r="I34" s="10">
        <f>0.0853</f>
        <v>8.5300000000000001E-2</v>
      </c>
      <c r="J34" s="10">
        <f>0.0889</f>
        <v>8.8900000000000007E-2</v>
      </c>
      <c r="K34" s="10">
        <f>0.0784</f>
        <v>7.8399999999999997E-2</v>
      </c>
      <c r="L34" s="10">
        <f>0.0872</f>
        <v>8.72E-2</v>
      </c>
      <c r="M34" s="10">
        <f>0.0769</f>
        <v>7.6899999999999996E-2</v>
      </c>
      <c r="N34" s="10">
        <f>0.0678</f>
        <v>6.7799999999999999E-2</v>
      </c>
      <c r="O34" s="10">
        <f>0.0759</f>
        <v>7.5899999999999995E-2</v>
      </c>
      <c r="P34" s="10">
        <f>0</f>
        <v>0</v>
      </c>
      <c r="Q34" s="10">
        <f>0.07</f>
        <v>7.0000000000000007E-2</v>
      </c>
      <c r="R34" s="10">
        <f>0.0701</f>
        <v>7.0099999999999996E-2</v>
      </c>
      <c r="S34" s="10">
        <f>0.0859</f>
        <v>8.5900000000000004E-2</v>
      </c>
      <c r="T34" s="10">
        <f>0.0858</f>
        <v>8.5800000000000001E-2</v>
      </c>
      <c r="U34" s="10">
        <f>0.076</f>
        <v>7.5999999999999998E-2</v>
      </c>
      <c r="V34" s="10">
        <f>0</f>
        <v>0</v>
      </c>
      <c r="W34" s="10">
        <f>0</f>
        <v>0</v>
      </c>
      <c r="X34" s="10">
        <f>0</f>
        <v>0</v>
      </c>
      <c r="Y34" s="10">
        <f>0.0749</f>
        <v>7.4899999999999994E-2</v>
      </c>
      <c r="Z34" s="10">
        <f>0</f>
        <v>0</v>
      </c>
      <c r="AA34" s="10">
        <f>0.0884</f>
        <v>8.8400000000000006E-2</v>
      </c>
      <c r="AB34" s="10">
        <f>0.0792</f>
        <v>7.9200000000000007E-2</v>
      </c>
      <c r="AC34" s="10">
        <f>0</f>
        <v>0</v>
      </c>
      <c r="AD34" s="10">
        <f>0.0883</f>
        <v>8.8300000000000003E-2</v>
      </c>
      <c r="AE34" s="10">
        <f>0.0977</f>
        <v>9.7699999999999995E-2</v>
      </c>
      <c r="AF34" s="10">
        <f>0</f>
        <v>0</v>
      </c>
      <c r="AG34" s="10">
        <f>0.0916</f>
        <v>9.1600000000000001E-2</v>
      </c>
      <c r="AH34" s="10">
        <f>0.0803</f>
        <v>8.0299999999999996E-2</v>
      </c>
      <c r="AI34" s="10">
        <f>0</f>
        <v>0</v>
      </c>
      <c r="AJ34" s="10">
        <f>0.0822</f>
        <v>8.2199999999999995E-2</v>
      </c>
      <c r="AK34" s="10">
        <f>0.084</f>
        <v>8.4000000000000005E-2</v>
      </c>
      <c r="AL34" s="10">
        <f>0.0797</f>
        <v>7.9699999999999993E-2</v>
      </c>
      <c r="AM34" s="10">
        <f>0.0877</f>
        <v>8.77E-2</v>
      </c>
      <c r="AN34" s="10">
        <f>0</f>
        <v>0</v>
      </c>
    </row>
    <row r="35" spans="1:40" x14ac:dyDescent="0.3">
      <c r="A35" s="13" t="s">
        <v>186</v>
      </c>
      <c r="B35" s="10">
        <f>0.0685</f>
        <v>6.8500000000000005E-2</v>
      </c>
      <c r="C35" s="10">
        <f>0.0701</f>
        <v>7.0099999999999996E-2</v>
      </c>
      <c r="D35" s="10">
        <f>0.0604</f>
        <v>6.0400000000000002E-2</v>
      </c>
      <c r="E35" s="10">
        <f>0.056</f>
        <v>5.6000000000000001E-2</v>
      </c>
      <c r="F35" s="10">
        <f>0.0632</f>
        <v>6.3200000000000006E-2</v>
      </c>
      <c r="G35" s="10">
        <f>0</f>
        <v>0</v>
      </c>
      <c r="H35" s="10">
        <f>0.0682</f>
        <v>6.8199999999999997E-2</v>
      </c>
      <c r="I35" s="10">
        <f>0.0671</f>
        <v>6.7100000000000007E-2</v>
      </c>
      <c r="J35" s="10">
        <f>0.0706</f>
        <v>7.0599999999999996E-2</v>
      </c>
      <c r="K35" s="10">
        <f>0.0614</f>
        <v>6.1400000000000003E-2</v>
      </c>
      <c r="L35" s="10">
        <f>0.0602</f>
        <v>6.0199999999999997E-2</v>
      </c>
      <c r="M35" s="10">
        <f>0.0583</f>
        <v>5.8299999999999998E-2</v>
      </c>
      <c r="N35" s="10">
        <f>0.0554</f>
        <v>5.5399999999999998E-2</v>
      </c>
      <c r="O35" s="10">
        <v>0</v>
      </c>
      <c r="P35" s="10">
        <f>0.0581</f>
        <v>5.8099999999999999E-2</v>
      </c>
      <c r="Q35" s="10">
        <f>0.0528</f>
        <v>5.28E-2</v>
      </c>
      <c r="R35" s="10">
        <v>5.6000000000000001E-2</v>
      </c>
      <c r="S35" s="10">
        <f>0.0647</f>
        <v>6.4699999999999994E-2</v>
      </c>
      <c r="T35" s="10">
        <f>0.0694</f>
        <v>6.9400000000000003E-2</v>
      </c>
      <c r="U35" s="10">
        <f>0</f>
        <v>0</v>
      </c>
      <c r="V35" s="10">
        <f>0</f>
        <v>0</v>
      </c>
      <c r="W35" s="10">
        <f>0</f>
        <v>0</v>
      </c>
      <c r="X35" s="10">
        <f>0.0547</f>
        <v>5.4699999999999999E-2</v>
      </c>
      <c r="Y35" s="10">
        <f>0.0601</f>
        <v>6.0100000000000001E-2</v>
      </c>
      <c r="Z35" s="10">
        <f>0.0568</f>
        <v>5.6800000000000003E-2</v>
      </c>
      <c r="AA35" s="10">
        <f>0.0715</f>
        <v>7.1499999999999994E-2</v>
      </c>
      <c r="AB35" s="10">
        <f>0.0624</f>
        <v>6.2399999999999997E-2</v>
      </c>
      <c r="AC35" s="10">
        <f>0.0691</f>
        <v>6.9099999999999995E-2</v>
      </c>
      <c r="AD35" s="10">
        <f>0.0715</f>
        <v>7.1499999999999994E-2</v>
      </c>
      <c r="AE35" s="10">
        <f>0.0704</f>
        <v>7.0400000000000004E-2</v>
      </c>
      <c r="AF35" s="10">
        <f>0.0661</f>
        <v>6.6100000000000006E-2</v>
      </c>
      <c r="AG35" s="10">
        <f>0.0746</f>
        <v>7.46E-2</v>
      </c>
      <c r="AH35" s="10">
        <f>0.0683</f>
        <v>6.83E-2</v>
      </c>
      <c r="AI35" s="10">
        <f>0.0676</f>
        <v>6.7599999999999993E-2</v>
      </c>
      <c r="AJ35" s="10">
        <f>0.0613</f>
        <v>6.13E-2</v>
      </c>
      <c r="AK35" s="10">
        <f>0.0675</f>
        <v>6.7500000000000004E-2</v>
      </c>
      <c r="AL35" s="10">
        <f>0.0673</f>
        <v>6.7299999999999999E-2</v>
      </c>
      <c r="AM35" s="10">
        <f>0.0688</f>
        <v>6.88E-2</v>
      </c>
      <c r="AN35" s="10">
        <f>0.0653</f>
        <v>6.5299999999999997E-2</v>
      </c>
    </row>
    <row r="36" spans="1:40" x14ac:dyDescent="0.3">
      <c r="A36" s="13" t="s">
        <v>187</v>
      </c>
      <c r="B36" s="10">
        <f>0</f>
        <v>0</v>
      </c>
      <c r="C36" s="10">
        <f>0</f>
        <v>0</v>
      </c>
      <c r="D36" s="10">
        <f>0.0642</f>
        <v>6.4199999999999993E-2</v>
      </c>
      <c r="E36" s="10">
        <f>0</f>
        <v>0</v>
      </c>
      <c r="F36" s="10">
        <f>0</f>
        <v>0</v>
      </c>
      <c r="G36" s="10">
        <f>0</f>
        <v>0</v>
      </c>
      <c r="H36" s="10">
        <f>0</f>
        <v>0</v>
      </c>
      <c r="I36" s="10">
        <f>0</f>
        <v>0</v>
      </c>
      <c r="J36" s="10">
        <f>0</f>
        <v>0</v>
      </c>
      <c r="K36" s="10">
        <f>0</f>
        <v>0</v>
      </c>
      <c r="L36" s="10">
        <f>0.0661</f>
        <v>6.6100000000000006E-2</v>
      </c>
      <c r="M36" s="10">
        <f>0</f>
        <v>0</v>
      </c>
      <c r="N36" s="10">
        <f>0</f>
        <v>0</v>
      </c>
      <c r="O36" s="10">
        <f>0</f>
        <v>0</v>
      </c>
      <c r="P36" s="10">
        <f>0</f>
        <v>0</v>
      </c>
      <c r="Q36" s="10">
        <f>0.0592</f>
        <v>5.9200000000000003E-2</v>
      </c>
      <c r="R36" s="10">
        <f>0.0614</f>
        <v>6.1400000000000003E-2</v>
      </c>
      <c r="S36" s="10">
        <f>0.0752</f>
        <v>7.5200000000000003E-2</v>
      </c>
      <c r="T36" s="10">
        <f>0</f>
        <v>0</v>
      </c>
      <c r="U36" s="10">
        <v>0</v>
      </c>
      <c r="V36" s="10">
        <f>0.0627</f>
        <v>6.2700000000000006E-2</v>
      </c>
      <c r="W36" s="10">
        <f>0.0601</f>
        <v>6.0100000000000001E-2</v>
      </c>
      <c r="X36" s="10">
        <f>0.0571</f>
        <v>5.7099999999999998E-2</v>
      </c>
      <c r="Y36" s="10">
        <f>0</f>
        <v>0</v>
      </c>
      <c r="Z36" s="10">
        <f>0.0612</f>
        <v>6.1199999999999997E-2</v>
      </c>
      <c r="AA36" s="10">
        <f>0</f>
        <v>0</v>
      </c>
      <c r="AB36" s="10">
        <f>0.068</f>
        <v>6.8000000000000005E-2</v>
      </c>
      <c r="AC36" s="10">
        <f>0.0733</f>
        <v>7.3300000000000004E-2</v>
      </c>
      <c r="AD36" s="10">
        <f>0.1197</f>
        <v>0.1197</v>
      </c>
      <c r="AE36" s="10">
        <f>0.1219</f>
        <v>0.12189999999999999</v>
      </c>
      <c r="AF36" s="10">
        <f>0.0718</f>
        <v>7.1800000000000003E-2</v>
      </c>
      <c r="AG36" s="10">
        <f>0.1487</f>
        <v>0.1487</v>
      </c>
      <c r="AH36" s="10">
        <f>0.0703</f>
        <v>7.0300000000000001E-2</v>
      </c>
      <c r="AI36" s="10">
        <f>0</f>
        <v>0</v>
      </c>
      <c r="AJ36" s="10">
        <f>0.0641</f>
        <v>6.4100000000000004E-2</v>
      </c>
      <c r="AK36" s="10">
        <f>0.0737</f>
        <v>7.3700000000000002E-2</v>
      </c>
      <c r="AL36" s="10">
        <f>0</f>
        <v>0</v>
      </c>
      <c r="AM36" s="10">
        <v>0</v>
      </c>
      <c r="AN36" s="10">
        <f>0</f>
        <v>0</v>
      </c>
    </row>
    <row r="37" spans="1:40" x14ac:dyDescent="0.3">
      <c r="A37" s="13" t="s">
        <v>0</v>
      </c>
      <c r="B37" s="10">
        <f>0.2799</f>
        <v>0.27989999999999998</v>
      </c>
      <c r="C37" s="10">
        <f>0.3008</f>
        <v>0.30080000000000001</v>
      </c>
      <c r="D37" s="10">
        <f>0.3689</f>
        <v>0.36890000000000001</v>
      </c>
      <c r="E37" s="10">
        <f>0.4062</f>
        <v>0.40620000000000001</v>
      </c>
      <c r="F37" s="10">
        <f>0.2753</f>
        <v>0.27529999999999999</v>
      </c>
      <c r="G37" s="10">
        <f>0.231</f>
        <v>0.23100000000000001</v>
      </c>
      <c r="H37" s="10">
        <f>0.2547</f>
        <v>0.25469999999999998</v>
      </c>
      <c r="I37" s="10">
        <f>0.28</f>
        <v>0.28000000000000003</v>
      </c>
      <c r="J37" s="10">
        <f>0.3046</f>
        <v>0.30459999999999998</v>
      </c>
      <c r="K37" s="10">
        <f>0.3758</f>
        <v>0.37580000000000002</v>
      </c>
      <c r="L37" s="10">
        <f>0.3169</f>
        <v>0.31690000000000002</v>
      </c>
      <c r="M37" s="10">
        <f>0.4153</f>
        <v>0.4153</v>
      </c>
      <c r="N37" s="10">
        <f>0.3686</f>
        <v>0.36859999999999998</v>
      </c>
      <c r="O37" s="10">
        <f>0.3902</f>
        <v>0.39019999999999999</v>
      </c>
      <c r="P37" s="10">
        <f>0.3523</f>
        <v>0.3523</v>
      </c>
      <c r="Q37" s="10">
        <f>0.3343</f>
        <v>0.33429999999999999</v>
      </c>
      <c r="R37" s="10">
        <f>0.357</f>
        <v>0.35699999999999998</v>
      </c>
      <c r="S37" s="10">
        <f>0.2571</f>
        <v>0.2571</v>
      </c>
      <c r="T37" s="10">
        <f>0.2859</f>
        <v>0.28589999999999999</v>
      </c>
      <c r="U37" s="10">
        <f>0.3946</f>
        <v>0.39460000000000001</v>
      </c>
      <c r="V37" s="10">
        <f>0.2864</f>
        <v>0.28639999999999999</v>
      </c>
      <c r="W37" s="10">
        <f>0.2364</f>
        <v>0.2364</v>
      </c>
      <c r="X37" s="10" t="s">
        <v>160</v>
      </c>
      <c r="Y37" s="10">
        <f>0.3691</f>
        <v>0.36909999999999998</v>
      </c>
      <c r="Z37" s="10">
        <f>0.3889</f>
        <v>0.38890000000000002</v>
      </c>
      <c r="AA37" s="10">
        <f>0.2956</f>
        <v>0.29559999999999997</v>
      </c>
      <c r="AB37" s="10">
        <f>0.4157</f>
        <v>0.41570000000000001</v>
      </c>
      <c r="AC37" s="10">
        <f>0.2488</f>
        <v>0.24879999999999999</v>
      </c>
      <c r="AD37" s="10">
        <f>0.3031</f>
        <v>0.30309999999999998</v>
      </c>
      <c r="AE37" s="10">
        <f>0.355</f>
        <v>0.35499999999999998</v>
      </c>
      <c r="AF37" s="10">
        <f>0</f>
        <v>0</v>
      </c>
      <c r="AG37" s="10">
        <f>0.2679</f>
        <v>0.26790000000000003</v>
      </c>
      <c r="AH37" s="10">
        <f>0.318</f>
        <v>0.318</v>
      </c>
      <c r="AI37" s="10">
        <f>0</f>
        <v>0</v>
      </c>
      <c r="AJ37" s="10">
        <f>0.2484</f>
        <v>0.24840000000000001</v>
      </c>
      <c r="AK37" s="10">
        <f>0.3029</f>
        <v>0.3029</v>
      </c>
      <c r="AL37" s="10">
        <f>0.3049</f>
        <v>0.3049</v>
      </c>
      <c r="AM37" s="10">
        <f>0.3037</f>
        <v>0.30370000000000003</v>
      </c>
      <c r="AN37" s="10">
        <f>0.3</f>
        <v>0.3</v>
      </c>
    </row>
    <row r="38" spans="1:40" x14ac:dyDescent="0.3">
      <c r="A38" s="15" t="s">
        <v>1</v>
      </c>
      <c r="B38" s="11">
        <f>0.0149</f>
        <v>1.49E-2</v>
      </c>
      <c r="C38" s="11">
        <f>0.0134</f>
        <v>1.34E-2</v>
      </c>
      <c r="D38" s="11">
        <f>0</f>
        <v>0</v>
      </c>
      <c r="E38" s="11">
        <f>0.0114</f>
        <v>1.14E-2</v>
      </c>
      <c r="F38" s="11">
        <f>0.0123</f>
        <v>1.23E-2</v>
      </c>
      <c r="G38" s="11">
        <f>0.0133</f>
        <v>1.3299999999999999E-2</v>
      </c>
      <c r="H38" s="11">
        <f>0.0131</f>
        <v>1.3100000000000001E-2</v>
      </c>
      <c r="I38" s="11">
        <f>0.0139</f>
        <v>1.3899999999999999E-2</v>
      </c>
      <c r="J38" s="11">
        <f>0.0141</f>
        <v>1.41E-2</v>
      </c>
      <c r="K38" s="11">
        <f>0.0119</f>
        <v>1.1900000000000001E-2</v>
      </c>
      <c r="L38" s="11">
        <f>0.0121</f>
        <v>1.21E-2</v>
      </c>
      <c r="M38" s="11">
        <f>0.0118</f>
        <v>1.18E-2</v>
      </c>
      <c r="N38" s="11">
        <f>0.0105</f>
        <v>1.0500000000000001E-2</v>
      </c>
      <c r="O38" s="11">
        <f>0.0132</f>
        <v>1.32E-2</v>
      </c>
      <c r="P38" s="11">
        <v>1.2500000000000001E-2</v>
      </c>
      <c r="Q38" s="11">
        <f>0.0103</f>
        <v>1.03E-2</v>
      </c>
      <c r="R38" s="11">
        <f>0.0115</f>
        <v>1.15E-2</v>
      </c>
      <c r="S38" s="11">
        <f>0.0132</f>
        <v>1.32E-2</v>
      </c>
      <c r="T38" s="11">
        <f>0.0139</f>
        <v>1.3899999999999999E-2</v>
      </c>
      <c r="U38" s="11">
        <f>0.0108</f>
        <v>1.0800000000000001E-2</v>
      </c>
      <c r="V38" s="11">
        <f>0.0121</f>
        <v>1.21E-2</v>
      </c>
      <c r="W38" s="11">
        <f>0.0118</f>
        <v>1.18E-2</v>
      </c>
      <c r="X38" s="11">
        <f>0</f>
        <v>0</v>
      </c>
      <c r="Y38" s="11">
        <f>0.0125</f>
        <v>1.2500000000000001E-2</v>
      </c>
      <c r="Z38" s="11">
        <f>0</f>
        <v>0</v>
      </c>
      <c r="AA38" s="11">
        <f>0.0144</f>
        <v>1.44E-2</v>
      </c>
      <c r="AB38" s="11">
        <f>0.0132</f>
        <v>1.32E-2</v>
      </c>
      <c r="AC38" s="11">
        <f>0.0144</f>
        <v>1.44E-2</v>
      </c>
      <c r="AD38" s="11">
        <f>0.0136</f>
        <v>1.3599999999999999E-2</v>
      </c>
      <c r="AE38" s="11">
        <f>0.0139</f>
        <v>1.3899999999999999E-2</v>
      </c>
      <c r="AF38" s="11">
        <v>1.34E-2</v>
      </c>
      <c r="AG38" s="11">
        <f>0.0128</f>
        <v>1.2800000000000001E-2</v>
      </c>
      <c r="AH38" s="11">
        <f>0.0131</f>
        <v>1.3100000000000001E-2</v>
      </c>
      <c r="AI38" s="11">
        <f>0.0134</f>
        <v>1.34E-2</v>
      </c>
      <c r="AJ38" s="11">
        <f>0.0127</f>
        <v>1.2699999999999999E-2</v>
      </c>
      <c r="AK38" s="11">
        <v>1.35E-2</v>
      </c>
      <c r="AL38" s="11">
        <f>0.0143</f>
        <v>1.43E-2</v>
      </c>
      <c r="AM38" s="11">
        <f>0.0131</f>
        <v>1.3100000000000001E-2</v>
      </c>
      <c r="AN38" s="11">
        <f>0.013</f>
        <v>1.2999999999999999E-2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93BB-5E51-4A83-84AD-D73D3D812A9A}">
  <dimension ref="A1:N43"/>
  <sheetViews>
    <sheetView showGridLines="0" workbookViewId="0">
      <selection sqref="A1:XFD1"/>
    </sheetView>
  </sheetViews>
  <sheetFormatPr baseColWidth="10" defaultRowHeight="14.4" x14ac:dyDescent="0.3"/>
  <cols>
    <col min="1" max="1" width="11.5546875" style="22"/>
  </cols>
  <sheetData>
    <row r="1" spans="1:14" s="37" customFormat="1" x14ac:dyDescent="0.3">
      <c r="A1" s="37" t="s">
        <v>883</v>
      </c>
    </row>
    <row r="5" spans="1:14" x14ac:dyDescent="0.3"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</row>
    <row r="6" spans="1:14" x14ac:dyDescent="0.3">
      <c r="B6" s="9" t="s">
        <v>529</v>
      </c>
      <c r="C6" s="9" t="s">
        <v>529</v>
      </c>
      <c r="D6" s="9" t="s">
        <v>529</v>
      </c>
      <c r="E6" s="9" t="s">
        <v>529</v>
      </c>
      <c r="F6" s="9" t="s">
        <v>529</v>
      </c>
      <c r="G6" s="9" t="s">
        <v>529</v>
      </c>
      <c r="H6" s="9" t="s">
        <v>529</v>
      </c>
      <c r="I6" s="9" t="s">
        <v>529</v>
      </c>
      <c r="J6" s="9" t="s">
        <v>529</v>
      </c>
      <c r="K6" s="9" t="s">
        <v>529</v>
      </c>
      <c r="L6" s="9" t="s">
        <v>529</v>
      </c>
      <c r="M6" s="9" t="s">
        <v>529</v>
      </c>
      <c r="N6" s="9" t="s">
        <v>529</v>
      </c>
    </row>
    <row r="7" spans="1:14" x14ac:dyDescent="0.3">
      <c r="A7" s="24" t="s">
        <v>161</v>
      </c>
      <c r="B7" s="1">
        <v>1.5100000000000001E-2</v>
      </c>
      <c r="C7" s="1">
        <v>1.5599999999999999E-2</v>
      </c>
      <c r="D7" s="1">
        <v>1.6E-2</v>
      </c>
      <c r="E7" s="1">
        <v>1.5900000000000001E-2</v>
      </c>
      <c r="F7" s="1">
        <v>1.5599999999999999E-2</v>
      </c>
      <c r="G7" s="1">
        <v>1.5900000000000001E-2</v>
      </c>
      <c r="H7" s="1">
        <v>1.54E-2</v>
      </c>
      <c r="I7" s="1">
        <v>1.52E-2</v>
      </c>
      <c r="J7" s="1">
        <v>1.5299999999999999E-2</v>
      </c>
      <c r="K7" s="1">
        <v>1.5800000000000002E-2</v>
      </c>
      <c r="L7" s="1">
        <v>1.5800000000000002E-2</v>
      </c>
      <c r="M7" s="1">
        <v>1.55E-2</v>
      </c>
      <c r="N7" s="1">
        <v>1.5699999999999999E-2</v>
      </c>
    </row>
    <row r="8" spans="1:14" x14ac:dyDescent="0.3">
      <c r="A8" s="22" t="s">
        <v>162</v>
      </c>
      <c r="B8" s="1">
        <v>0</v>
      </c>
      <c r="C8" s="1">
        <v>0</v>
      </c>
      <c r="D8" s="1">
        <v>0</v>
      </c>
      <c r="E8" s="1">
        <v>0</v>
      </c>
      <c r="F8" s="1">
        <v>1.6500000000000001E-2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3">
      <c r="A9" s="22" t="s">
        <v>163</v>
      </c>
      <c r="B9" s="1">
        <v>1.49E-2</v>
      </c>
      <c r="C9" s="1">
        <v>1.47E-2</v>
      </c>
      <c r="D9" s="1">
        <v>1.5100000000000001E-2</v>
      </c>
      <c r="E9" s="1">
        <v>1.4800000000000001E-2</v>
      </c>
      <c r="F9" s="1">
        <v>1.1299999999999999E-2</v>
      </c>
      <c r="G9" s="1">
        <v>1.5299999999999999E-2</v>
      </c>
      <c r="H9" s="1">
        <v>1.4999999999999999E-2</v>
      </c>
      <c r="I9" s="1">
        <v>1.49E-2</v>
      </c>
      <c r="J9" s="1">
        <v>1.52E-2</v>
      </c>
      <c r="K9" s="1">
        <v>1.5100000000000001E-2</v>
      </c>
      <c r="L9" s="1">
        <v>1.5299999999999999E-2</v>
      </c>
      <c r="M9" s="1">
        <v>1.6E-2</v>
      </c>
      <c r="N9" s="1">
        <v>1.52E-2</v>
      </c>
    </row>
    <row r="10" spans="1:14" x14ac:dyDescent="0.3">
      <c r="A10" s="22" t="s">
        <v>191</v>
      </c>
      <c r="B10" s="1">
        <v>9.7100000000000006E-2</v>
      </c>
      <c r="C10" s="1">
        <v>0</v>
      </c>
      <c r="D10" s="1">
        <v>0</v>
      </c>
      <c r="E10" s="1">
        <v>9.5799999999999996E-2</v>
      </c>
      <c r="F10" s="1">
        <v>9.0899999999999995E-2</v>
      </c>
      <c r="G10" s="1">
        <v>9.9400000000000002E-2</v>
      </c>
      <c r="H10" s="1" t="s">
        <v>160</v>
      </c>
      <c r="I10" s="1">
        <v>9.6000000000000002E-2</v>
      </c>
      <c r="J10" s="1" t="s">
        <v>160</v>
      </c>
      <c r="K10" s="1">
        <v>0</v>
      </c>
      <c r="L10" s="1">
        <v>9.5500000000000002E-2</v>
      </c>
      <c r="M10" s="1">
        <v>0</v>
      </c>
      <c r="N10" s="1">
        <v>8.8200000000000001E-2</v>
      </c>
    </row>
    <row r="11" spans="1:14" x14ac:dyDescent="0.3">
      <c r="A11" s="22" t="s">
        <v>164</v>
      </c>
      <c r="B11" s="1">
        <v>3.7199999999999997E-2</v>
      </c>
      <c r="C11" s="1">
        <v>3.6999999999999998E-2</v>
      </c>
      <c r="D11" s="1">
        <v>3.8300000000000001E-2</v>
      </c>
      <c r="E11" s="1">
        <v>3.73E-2</v>
      </c>
      <c r="F11" s="1">
        <v>2.9000000000000001E-2</v>
      </c>
      <c r="G11" s="1">
        <v>3.5200000000000002E-2</v>
      </c>
      <c r="H11" s="1">
        <v>3.6299999999999999E-2</v>
      </c>
      <c r="I11" s="1">
        <v>3.6299999999999999E-2</v>
      </c>
      <c r="J11" s="1">
        <v>3.7400000000000003E-2</v>
      </c>
      <c r="K11" s="1">
        <v>3.8300000000000001E-2</v>
      </c>
      <c r="L11" s="1">
        <v>3.6200000000000003E-2</v>
      </c>
      <c r="M11" s="1">
        <v>3.5400000000000001E-2</v>
      </c>
      <c r="N11" s="1">
        <v>3.4799999999999998E-2</v>
      </c>
    </row>
    <row r="12" spans="1:14" x14ac:dyDescent="0.3">
      <c r="A12" s="22" t="s">
        <v>188</v>
      </c>
      <c r="B12" s="1">
        <v>0</v>
      </c>
      <c r="C12" s="1">
        <v>0</v>
      </c>
      <c r="D12" s="1">
        <v>1.5599999999999999E-2</v>
      </c>
      <c r="E12" s="1">
        <v>0</v>
      </c>
      <c r="F12" s="1">
        <v>1.18E-2</v>
      </c>
      <c r="G12" s="1">
        <v>0</v>
      </c>
      <c r="H12" s="1">
        <v>1.5599999999999999E-2</v>
      </c>
      <c r="I12" s="1">
        <v>0</v>
      </c>
      <c r="J12" s="1">
        <v>0</v>
      </c>
      <c r="K12" s="1">
        <v>0</v>
      </c>
      <c r="L12" s="1">
        <v>1.5599999999999999E-2</v>
      </c>
      <c r="M12" s="1">
        <v>1.5900000000000001E-2</v>
      </c>
      <c r="N12" s="1">
        <v>1.52E-2</v>
      </c>
    </row>
    <row r="13" spans="1:14" x14ac:dyDescent="0.3">
      <c r="A13" s="22" t="s">
        <v>165</v>
      </c>
      <c r="B13" s="1">
        <v>1.6E-2</v>
      </c>
      <c r="C13" s="1">
        <v>1.61E-2</v>
      </c>
      <c r="D13" s="1">
        <v>1.6199999999999999E-2</v>
      </c>
      <c r="E13" s="1">
        <v>1.5900000000000001E-2</v>
      </c>
      <c r="F13" s="1">
        <v>1.4800000000000001E-2</v>
      </c>
      <c r="G13" s="1">
        <v>1.5900000000000001E-2</v>
      </c>
      <c r="H13" s="1">
        <v>1.5599999999999999E-2</v>
      </c>
      <c r="I13" s="1">
        <v>1.6E-2</v>
      </c>
      <c r="J13" s="1">
        <v>1.55E-2</v>
      </c>
      <c r="K13" s="1">
        <v>1.5599999999999999E-2</v>
      </c>
      <c r="L13" s="1">
        <v>1.5699999999999999E-2</v>
      </c>
      <c r="M13" s="1">
        <v>1.6E-2</v>
      </c>
      <c r="N13" s="1">
        <v>1.5699999999999999E-2</v>
      </c>
    </row>
    <row r="14" spans="1:14" x14ac:dyDescent="0.3">
      <c r="A14" s="22" t="s">
        <v>166</v>
      </c>
      <c r="B14" s="1">
        <v>2.5399999999999999E-2</v>
      </c>
      <c r="C14" s="1">
        <v>2.4400000000000002E-2</v>
      </c>
      <c r="D14" s="1">
        <v>2.4199999999999999E-2</v>
      </c>
      <c r="E14" s="1">
        <v>2.5700000000000001E-2</v>
      </c>
      <c r="F14" s="1">
        <v>2.1600000000000001E-2</v>
      </c>
      <c r="G14" s="1">
        <v>2.47E-2</v>
      </c>
      <c r="H14" s="1">
        <v>2.4400000000000002E-2</v>
      </c>
      <c r="I14" s="1">
        <v>2.41E-2</v>
      </c>
      <c r="J14" s="1">
        <v>2.6200000000000001E-2</v>
      </c>
      <c r="K14" s="1">
        <v>2.4199999999999999E-2</v>
      </c>
      <c r="L14" s="1">
        <v>2.3300000000000001E-2</v>
      </c>
      <c r="M14" s="1">
        <v>2.6200000000000001E-2</v>
      </c>
      <c r="N14" s="1">
        <v>2.46E-2</v>
      </c>
    </row>
    <row r="15" spans="1:14" x14ac:dyDescent="0.3">
      <c r="A15" s="22" t="s">
        <v>167</v>
      </c>
      <c r="B15" s="1">
        <v>1.9199999999999998E-2</v>
      </c>
      <c r="C15" s="1">
        <v>1.8800000000000001E-2</v>
      </c>
      <c r="D15" s="1">
        <v>1.8700000000000001E-2</v>
      </c>
      <c r="E15" s="1">
        <v>1.8700000000000001E-2</v>
      </c>
      <c r="F15" s="1">
        <v>1.5800000000000002E-2</v>
      </c>
      <c r="G15" s="1">
        <v>1.9300000000000001E-2</v>
      </c>
      <c r="H15" s="1">
        <v>1.84E-2</v>
      </c>
      <c r="I15" s="1">
        <v>1.8200000000000001E-2</v>
      </c>
      <c r="J15" s="1">
        <v>1.9400000000000001E-2</v>
      </c>
      <c r="K15" s="1">
        <v>1.8599999999999998E-2</v>
      </c>
      <c r="L15" s="1">
        <v>1.8800000000000001E-2</v>
      </c>
      <c r="M15" s="1">
        <v>1.8100000000000002E-2</v>
      </c>
      <c r="N15" s="1">
        <v>1.8800000000000001E-2</v>
      </c>
    </row>
    <row r="16" spans="1:14" x14ac:dyDescent="0.3">
      <c r="A16" s="22" t="s">
        <v>190</v>
      </c>
      <c r="B16" s="1">
        <v>4.7300000000000002E-2</v>
      </c>
      <c r="C16" s="1">
        <v>4.7800000000000002E-2</v>
      </c>
      <c r="D16" s="1">
        <v>4.5499999999999999E-2</v>
      </c>
      <c r="E16" s="1">
        <v>4.65E-2</v>
      </c>
      <c r="F16" s="1">
        <v>4.6699999999999998E-2</v>
      </c>
      <c r="G16" s="1">
        <v>4.7500000000000001E-2</v>
      </c>
      <c r="H16" s="1">
        <v>4.9399999999999999E-2</v>
      </c>
      <c r="I16" s="1">
        <v>4.6100000000000002E-2</v>
      </c>
      <c r="J16" s="1">
        <v>4.7699999999999999E-2</v>
      </c>
      <c r="K16" s="1">
        <v>4.8000000000000001E-2</v>
      </c>
      <c r="L16" s="1">
        <v>4.7600000000000003E-2</v>
      </c>
      <c r="M16" s="1">
        <v>4.8899999999999999E-2</v>
      </c>
      <c r="N16" s="1">
        <v>1.0200000000000001E-2</v>
      </c>
    </row>
    <row r="17" spans="1:14" x14ac:dyDescent="0.3">
      <c r="A17" s="22" t="s">
        <v>169</v>
      </c>
      <c r="B17" s="1">
        <v>0</v>
      </c>
      <c r="C17" s="1">
        <v>0</v>
      </c>
      <c r="D17" s="1">
        <v>0</v>
      </c>
      <c r="E17" s="1">
        <v>0</v>
      </c>
      <c r="F17" s="1">
        <v>7.6799999999999993E-2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 x14ac:dyDescent="0.3">
      <c r="A18" s="22" t="s">
        <v>170</v>
      </c>
      <c r="B18" s="1">
        <v>0</v>
      </c>
      <c r="C18" s="1">
        <v>6.1499999999999999E-2</v>
      </c>
      <c r="D18" s="1">
        <v>0</v>
      </c>
      <c r="E18" s="1">
        <v>0</v>
      </c>
      <c r="F18" s="1">
        <v>6.3600000000000004E-2</v>
      </c>
      <c r="G18" s="1">
        <v>0</v>
      </c>
      <c r="H18" s="1">
        <v>0</v>
      </c>
      <c r="I18" s="1">
        <v>0</v>
      </c>
      <c r="J18" s="1">
        <v>0</v>
      </c>
      <c r="K18" s="1">
        <v>6.2E-2</v>
      </c>
      <c r="L18" s="1">
        <v>6.4899999999999999E-2</v>
      </c>
      <c r="M18" s="1">
        <v>0</v>
      </c>
      <c r="N18" s="1">
        <v>6.4699999999999994E-2</v>
      </c>
    </row>
    <row r="19" spans="1:14" x14ac:dyDescent="0.3">
      <c r="A19" s="22" t="s">
        <v>171</v>
      </c>
      <c r="B19" s="1" t="s">
        <v>160</v>
      </c>
      <c r="C19" s="1">
        <v>0.4249</v>
      </c>
      <c r="D19" s="1">
        <v>0</v>
      </c>
      <c r="E19" s="1">
        <v>0.43790000000000001</v>
      </c>
      <c r="F19" s="1">
        <v>0.3669</v>
      </c>
      <c r="G19" s="1">
        <v>0.44400000000000001</v>
      </c>
      <c r="H19" s="1">
        <v>0.44309999999999999</v>
      </c>
      <c r="I19" s="1">
        <v>0</v>
      </c>
      <c r="J19" s="1">
        <v>0.42730000000000001</v>
      </c>
      <c r="K19" s="1">
        <v>0.442</v>
      </c>
      <c r="L19" s="1">
        <v>0.44409999999999999</v>
      </c>
      <c r="M19" s="1">
        <v>0.42920000000000003</v>
      </c>
      <c r="N19" s="1">
        <v>0.43070000000000003</v>
      </c>
    </row>
    <row r="20" spans="1:14" x14ac:dyDescent="0.3">
      <c r="A20" s="22" t="s">
        <v>172</v>
      </c>
      <c r="B20" s="1">
        <v>0.28870000000000001</v>
      </c>
      <c r="C20" s="1">
        <v>0.28070000000000001</v>
      </c>
      <c r="D20" s="1">
        <v>0.28460000000000002</v>
      </c>
      <c r="E20" s="1">
        <v>0.25380000000000003</v>
      </c>
      <c r="F20" s="1">
        <v>0.24360000000000001</v>
      </c>
      <c r="G20" s="1">
        <v>0.30170000000000002</v>
      </c>
      <c r="H20" s="1">
        <v>0.26119999999999999</v>
      </c>
      <c r="I20" s="1">
        <v>0.29099999999999998</v>
      </c>
      <c r="J20" s="1">
        <v>0.2722</v>
      </c>
      <c r="K20" s="1">
        <v>0.26079999999999998</v>
      </c>
      <c r="L20" s="1">
        <v>0.28689999999999999</v>
      </c>
      <c r="M20" s="1">
        <v>0.28660000000000002</v>
      </c>
      <c r="N20" s="1">
        <v>0.25319999999999998</v>
      </c>
    </row>
    <row r="21" spans="1:14" x14ac:dyDescent="0.3">
      <c r="A21" s="22" t="s">
        <v>173</v>
      </c>
      <c r="B21" s="1">
        <v>0.56269999999999998</v>
      </c>
      <c r="C21" s="1">
        <v>0.53480000000000005</v>
      </c>
      <c r="D21" s="1">
        <v>0.62539999999999996</v>
      </c>
      <c r="E21" s="1">
        <v>0.55489999999999995</v>
      </c>
      <c r="F21" s="1">
        <v>0.40060000000000001</v>
      </c>
      <c r="G21" s="1">
        <v>0.52790000000000004</v>
      </c>
      <c r="H21" s="1">
        <v>0.56299999999999994</v>
      </c>
      <c r="I21" s="1">
        <v>0.52339999999999998</v>
      </c>
      <c r="J21" s="1">
        <v>0.53280000000000005</v>
      </c>
      <c r="K21" s="1">
        <v>0.51559999999999995</v>
      </c>
      <c r="L21" s="1">
        <v>0.56259999999999999</v>
      </c>
      <c r="M21" s="1">
        <v>0.56520000000000004</v>
      </c>
      <c r="N21" s="1">
        <v>0.56979999999999997</v>
      </c>
    </row>
    <row r="22" spans="1:14" x14ac:dyDescent="0.3">
      <c r="A22" s="22" t="s">
        <v>174</v>
      </c>
      <c r="B22" s="1">
        <v>0.17680000000000001</v>
      </c>
      <c r="C22" s="1">
        <v>0.17730000000000001</v>
      </c>
      <c r="D22" s="1">
        <v>0.16550000000000001</v>
      </c>
      <c r="E22" s="1">
        <v>0.1681</v>
      </c>
      <c r="F22" s="1">
        <v>0.13400000000000001</v>
      </c>
      <c r="G22" s="1">
        <v>0.17299999999999999</v>
      </c>
      <c r="H22" s="1">
        <v>0.17330000000000001</v>
      </c>
      <c r="I22" s="1">
        <v>0.1807</v>
      </c>
      <c r="J22" s="1">
        <v>0.17460000000000001</v>
      </c>
      <c r="K22" s="1">
        <v>0.1731</v>
      </c>
      <c r="L22" s="1">
        <v>0.1792</v>
      </c>
      <c r="M22" s="1">
        <v>0.16750000000000001</v>
      </c>
      <c r="N22" s="1">
        <v>0.16750000000000001</v>
      </c>
    </row>
    <row r="23" spans="1:14" x14ac:dyDescent="0.3">
      <c r="A23" s="22" t="s">
        <v>175</v>
      </c>
      <c r="B23" s="1">
        <v>0.16750000000000001</v>
      </c>
      <c r="C23" s="1">
        <v>0.17069999999999999</v>
      </c>
      <c r="D23" s="1">
        <v>0.1663</v>
      </c>
      <c r="E23" s="1">
        <v>0.1704</v>
      </c>
      <c r="F23" s="1">
        <v>0.1308</v>
      </c>
      <c r="G23" s="1">
        <v>0.17749999999999999</v>
      </c>
      <c r="H23" s="1">
        <v>0.17299999999999999</v>
      </c>
      <c r="I23" s="1">
        <v>0.17299999999999999</v>
      </c>
      <c r="J23" s="1">
        <v>0.17080000000000001</v>
      </c>
      <c r="K23" s="1">
        <v>0.16700000000000001</v>
      </c>
      <c r="L23" s="1">
        <v>0.1724</v>
      </c>
      <c r="M23" s="1">
        <v>0.1676</v>
      </c>
      <c r="N23" s="1">
        <v>0.16689999999999999</v>
      </c>
    </row>
    <row r="24" spans="1:14" x14ac:dyDescent="0.3">
      <c r="A24" s="22" t="s">
        <v>176</v>
      </c>
      <c r="B24" s="1">
        <v>0.19020000000000001</v>
      </c>
      <c r="C24" s="1">
        <v>0.17069999999999999</v>
      </c>
      <c r="D24" s="1">
        <v>0.1802</v>
      </c>
      <c r="E24" s="1">
        <v>0.17929999999999999</v>
      </c>
      <c r="F24" s="1">
        <v>0</v>
      </c>
      <c r="G24" s="1">
        <v>0.17430000000000001</v>
      </c>
      <c r="H24" s="1">
        <v>0.1767</v>
      </c>
      <c r="I24" s="1">
        <v>0.1807</v>
      </c>
      <c r="J24" s="1">
        <v>0.1767</v>
      </c>
      <c r="K24" s="1">
        <v>0.17649999999999999</v>
      </c>
      <c r="L24" s="1">
        <v>0.17749999999999999</v>
      </c>
      <c r="M24" s="1">
        <v>0.18360000000000001</v>
      </c>
      <c r="N24" s="1">
        <v>0.17749999999999999</v>
      </c>
    </row>
    <row r="25" spans="1:14" x14ac:dyDescent="0.3">
      <c r="A25" s="22" t="s">
        <v>177</v>
      </c>
      <c r="B25" s="1">
        <v>0.23899999999999999</v>
      </c>
      <c r="C25" s="1">
        <v>0.2621</v>
      </c>
      <c r="D25" s="1">
        <v>0.26250000000000001</v>
      </c>
      <c r="E25" s="1">
        <v>0.25750000000000001</v>
      </c>
      <c r="F25" s="1">
        <v>0</v>
      </c>
      <c r="G25" s="1">
        <v>0.27789999999999998</v>
      </c>
      <c r="H25" s="1">
        <v>0.25030000000000002</v>
      </c>
      <c r="I25" s="1">
        <v>0.25969999999999999</v>
      </c>
      <c r="J25" s="1">
        <v>0.2394</v>
      </c>
      <c r="K25" s="1">
        <v>0.25819999999999999</v>
      </c>
      <c r="L25" s="1">
        <v>0.26450000000000001</v>
      </c>
      <c r="M25" s="1">
        <v>0.2838</v>
      </c>
      <c r="N25" s="1">
        <v>0.24690000000000001</v>
      </c>
    </row>
    <row r="26" spans="1:14" x14ac:dyDescent="0.3">
      <c r="A26" s="22" t="s">
        <v>178</v>
      </c>
      <c r="B26" s="1">
        <v>0.52080000000000004</v>
      </c>
      <c r="C26" s="1">
        <v>0.5252</v>
      </c>
      <c r="D26" s="1">
        <v>0.51549999999999996</v>
      </c>
      <c r="E26" s="1">
        <v>0.50409999999999999</v>
      </c>
      <c r="F26" s="1">
        <v>0.45939999999999998</v>
      </c>
      <c r="G26" s="1">
        <v>0.5635</v>
      </c>
      <c r="H26" s="1">
        <v>0.48049999999999998</v>
      </c>
      <c r="I26" s="1">
        <v>0.50819999999999999</v>
      </c>
      <c r="J26" s="1">
        <v>0.49640000000000001</v>
      </c>
      <c r="K26" s="1">
        <v>0.52370000000000005</v>
      </c>
      <c r="L26" s="1">
        <v>0.49680000000000002</v>
      </c>
      <c r="M26" s="1">
        <v>0.47639999999999999</v>
      </c>
      <c r="N26" s="1">
        <v>0.51119999999999999</v>
      </c>
    </row>
    <row r="27" spans="1:14" x14ac:dyDescent="0.3">
      <c r="A27" s="22" t="s">
        <v>179</v>
      </c>
      <c r="B27" s="1">
        <v>0</v>
      </c>
      <c r="C27" s="1">
        <v>0.2114</v>
      </c>
      <c r="D27" s="1">
        <v>0</v>
      </c>
      <c r="E27" s="1">
        <v>0.21410000000000001</v>
      </c>
      <c r="F27" s="1">
        <v>0</v>
      </c>
      <c r="G27" s="1">
        <v>0.21099999999999999</v>
      </c>
      <c r="H27" s="1">
        <v>0.2099</v>
      </c>
      <c r="I27" s="1">
        <v>0.2044</v>
      </c>
      <c r="J27" s="1">
        <v>0</v>
      </c>
      <c r="K27" s="1">
        <v>0.21029999999999999</v>
      </c>
      <c r="L27" s="1">
        <v>0.21190000000000001</v>
      </c>
      <c r="M27" s="1">
        <v>0.20619999999999999</v>
      </c>
      <c r="N27" s="1">
        <v>0</v>
      </c>
    </row>
    <row r="28" spans="1:14" x14ac:dyDescent="0.3">
      <c r="A28" s="22" t="s">
        <v>180</v>
      </c>
      <c r="B28" s="1">
        <v>0.26790000000000003</v>
      </c>
      <c r="C28" s="1">
        <v>0.27900000000000003</v>
      </c>
      <c r="D28" s="1">
        <v>0.27339999999999998</v>
      </c>
      <c r="E28" s="1">
        <v>0.28220000000000001</v>
      </c>
      <c r="F28" s="1">
        <v>0.24279999999999999</v>
      </c>
      <c r="G28" s="1">
        <v>0.27239999999999998</v>
      </c>
      <c r="H28" s="1">
        <v>0.28599999999999998</v>
      </c>
      <c r="I28" s="1">
        <v>0.29249999999999998</v>
      </c>
      <c r="J28" s="1">
        <v>0.29249999999999998</v>
      </c>
      <c r="K28" s="1">
        <v>0.28920000000000001</v>
      </c>
      <c r="L28" s="1">
        <v>0.28489999999999999</v>
      </c>
      <c r="M28" s="1">
        <v>0.27410000000000001</v>
      </c>
      <c r="N28" s="1">
        <v>0.28460000000000002</v>
      </c>
    </row>
    <row r="29" spans="1:14" x14ac:dyDescent="0.3">
      <c r="A29" s="22" t="s">
        <v>181</v>
      </c>
      <c r="B29" s="1">
        <v>0</v>
      </c>
      <c r="C29" s="1">
        <v>0.57609999999999995</v>
      </c>
      <c r="D29" s="1">
        <v>0</v>
      </c>
      <c r="E29" s="1">
        <v>0.62509999999999999</v>
      </c>
      <c r="F29" s="1">
        <v>0.54190000000000005</v>
      </c>
      <c r="G29" s="1">
        <v>0.63370000000000004</v>
      </c>
      <c r="H29" s="1">
        <v>0.62380000000000002</v>
      </c>
      <c r="I29" s="1">
        <v>0</v>
      </c>
      <c r="J29" s="1">
        <v>0.61629999999999996</v>
      </c>
      <c r="K29" s="1">
        <v>0.60189999999999999</v>
      </c>
      <c r="L29" s="1">
        <v>0</v>
      </c>
      <c r="M29" s="1">
        <v>0</v>
      </c>
      <c r="N29" s="1">
        <v>1.2062999999999999</v>
      </c>
    </row>
    <row r="30" spans="1:14" x14ac:dyDescent="0.3">
      <c r="A30" s="22" t="s">
        <v>182</v>
      </c>
      <c r="B30" s="1">
        <v>0.11899999999999999</v>
      </c>
      <c r="C30" s="1">
        <v>0.12239999999999999</v>
      </c>
      <c r="D30" s="1">
        <v>0.12379999999999999</v>
      </c>
      <c r="E30" s="1">
        <v>0.12520000000000001</v>
      </c>
      <c r="F30" s="1">
        <v>0</v>
      </c>
      <c r="G30" s="1">
        <v>0.12529999999999999</v>
      </c>
      <c r="H30" s="1">
        <v>0.1221</v>
      </c>
      <c r="I30" s="1">
        <v>0.1225</v>
      </c>
      <c r="J30" s="1">
        <v>0.12139999999999999</v>
      </c>
      <c r="K30" s="1">
        <v>0.1216</v>
      </c>
      <c r="L30" s="1">
        <v>0.1235</v>
      </c>
      <c r="M30" s="1">
        <v>0.12039999999999999</v>
      </c>
      <c r="N30" s="1">
        <v>0.1245</v>
      </c>
    </row>
    <row r="31" spans="1:14" x14ac:dyDescent="0.3">
      <c r="A31" s="22" t="s">
        <v>183</v>
      </c>
      <c r="B31" s="1">
        <v>0.1273</v>
      </c>
      <c r="C31" s="1">
        <v>0.1278</v>
      </c>
      <c r="D31" s="1">
        <v>0.12889999999999999</v>
      </c>
      <c r="E31" s="1">
        <v>0.12640000000000001</v>
      </c>
      <c r="F31" s="1">
        <v>0.10589999999999999</v>
      </c>
      <c r="G31" s="1">
        <v>0.12770000000000001</v>
      </c>
      <c r="H31" s="1">
        <v>0.12620000000000001</v>
      </c>
      <c r="I31" s="1">
        <v>0.12670000000000001</v>
      </c>
      <c r="J31" s="1">
        <v>0.12590000000000001</v>
      </c>
      <c r="K31" s="1">
        <v>0.1265</v>
      </c>
      <c r="L31" s="1">
        <v>0.1268</v>
      </c>
      <c r="M31" s="1">
        <v>0.12720000000000001</v>
      </c>
      <c r="N31" s="1">
        <v>0.12540000000000001</v>
      </c>
    </row>
    <row r="32" spans="1:14" x14ac:dyDescent="0.3">
      <c r="A32" s="22" t="s">
        <v>184</v>
      </c>
      <c r="B32" s="1">
        <v>0.14430000000000001</v>
      </c>
      <c r="C32" s="1">
        <v>0</v>
      </c>
      <c r="D32" s="1">
        <v>0</v>
      </c>
      <c r="E32" s="1">
        <v>0</v>
      </c>
      <c r="F32" s="1">
        <v>0.1178</v>
      </c>
      <c r="G32" s="1">
        <v>0.14069999999999999</v>
      </c>
      <c r="H32" s="1">
        <v>0</v>
      </c>
      <c r="I32" s="1">
        <v>0</v>
      </c>
      <c r="J32" s="1">
        <v>0.14369999999999999</v>
      </c>
      <c r="K32" s="1">
        <v>0</v>
      </c>
      <c r="L32" s="1">
        <v>0.14169999999999999</v>
      </c>
      <c r="M32" s="1">
        <v>0.13950000000000001</v>
      </c>
      <c r="N32" s="1">
        <v>0</v>
      </c>
    </row>
    <row r="33" spans="1:14" x14ac:dyDescent="0.3">
      <c r="A33" s="22" t="s">
        <v>524</v>
      </c>
      <c r="B33" s="1">
        <v>0.36870000000000003</v>
      </c>
      <c r="C33" s="1">
        <v>0</v>
      </c>
      <c r="D33" s="1">
        <v>0</v>
      </c>
      <c r="E33" s="1">
        <v>0.3523</v>
      </c>
      <c r="F33" s="1">
        <v>0.3196</v>
      </c>
      <c r="G33" s="1">
        <v>0.38669999999999999</v>
      </c>
      <c r="H33" s="1">
        <v>0.37259999999999999</v>
      </c>
      <c r="I33" s="1">
        <v>0</v>
      </c>
      <c r="J33" s="1">
        <v>0.3488</v>
      </c>
      <c r="K33" s="1">
        <v>0.36149999999999999</v>
      </c>
      <c r="L33" s="1">
        <v>0</v>
      </c>
      <c r="M33" s="1">
        <v>0.35039999999999999</v>
      </c>
      <c r="N33" s="1">
        <v>0</v>
      </c>
    </row>
    <row r="34" spans="1:14" x14ac:dyDescent="0.3">
      <c r="A34" s="22" t="s">
        <v>185</v>
      </c>
      <c r="B34" s="1">
        <v>8.8099999999999998E-2</v>
      </c>
      <c r="C34" s="1">
        <v>9.6000000000000002E-2</v>
      </c>
      <c r="D34" s="1">
        <v>8.8599999999999998E-2</v>
      </c>
      <c r="E34" s="1">
        <v>9.1399999999999995E-2</v>
      </c>
      <c r="F34" s="1">
        <v>7.6700000000000004E-2</v>
      </c>
      <c r="G34" s="1">
        <v>8.5400000000000004E-2</v>
      </c>
      <c r="H34" s="1">
        <v>8.8200000000000001E-2</v>
      </c>
      <c r="I34" s="1">
        <v>8.5900000000000004E-2</v>
      </c>
      <c r="J34" s="1">
        <v>9.0300000000000005E-2</v>
      </c>
      <c r="K34" s="1">
        <v>8.9200000000000002E-2</v>
      </c>
      <c r="L34" s="1">
        <v>8.8400000000000006E-2</v>
      </c>
      <c r="M34" s="1">
        <v>8.5400000000000004E-2</v>
      </c>
      <c r="N34" s="1" t="s">
        <v>160</v>
      </c>
    </row>
    <row r="35" spans="1:14" x14ac:dyDescent="0.3">
      <c r="A35" s="22" t="s">
        <v>186</v>
      </c>
      <c r="B35" s="1">
        <v>6.9599999999999995E-2</v>
      </c>
      <c r="C35" s="1">
        <v>7.4499999999999997E-2</v>
      </c>
      <c r="D35" s="1">
        <v>7.4800000000000005E-2</v>
      </c>
      <c r="E35" s="1">
        <v>7.1999999999999995E-2</v>
      </c>
      <c r="F35" s="1">
        <v>6.0900000000000003E-2</v>
      </c>
      <c r="G35" s="1">
        <v>7.2499999999999995E-2</v>
      </c>
      <c r="H35" s="1">
        <v>7.2700000000000001E-2</v>
      </c>
      <c r="I35" s="1">
        <v>6.8199999999999997E-2</v>
      </c>
      <c r="J35" s="1">
        <v>7.3800000000000004E-2</v>
      </c>
      <c r="K35" s="1">
        <v>7.17E-2</v>
      </c>
      <c r="L35" s="1">
        <v>7.0699999999999999E-2</v>
      </c>
      <c r="M35" s="1">
        <v>7.0699999999999999E-2</v>
      </c>
      <c r="N35" s="1">
        <v>7.1599999999999997E-2</v>
      </c>
    </row>
    <row r="36" spans="1:14" x14ac:dyDescent="0.3">
      <c r="A36" s="22" t="s">
        <v>187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3">
      <c r="A37" s="22" t="s">
        <v>0</v>
      </c>
      <c r="B37" s="1">
        <v>4.3900000000000002E-2</v>
      </c>
      <c r="C37" s="1">
        <v>4.36E-2</v>
      </c>
      <c r="D37" s="1">
        <v>4.3900000000000002E-2</v>
      </c>
      <c r="E37" s="1">
        <v>4.2999999999999997E-2</v>
      </c>
      <c r="F37" s="1">
        <v>5.3600000000000002E-2</v>
      </c>
      <c r="G37" s="1">
        <v>4.3799999999999999E-2</v>
      </c>
      <c r="H37" s="1">
        <v>4.41E-2</v>
      </c>
      <c r="I37" s="1">
        <v>4.5400000000000003E-2</v>
      </c>
      <c r="J37" s="1">
        <v>4.3999999999999997E-2</v>
      </c>
      <c r="K37" s="1">
        <v>4.41E-2</v>
      </c>
      <c r="L37" s="1">
        <v>4.4499999999999998E-2</v>
      </c>
      <c r="M37" s="1">
        <v>4.3499999999999997E-2</v>
      </c>
      <c r="N37" s="1">
        <v>4.5199999999999997E-2</v>
      </c>
    </row>
    <row r="38" spans="1:14" x14ac:dyDescent="0.3">
      <c r="A38" s="22" t="s">
        <v>1</v>
      </c>
      <c r="B38" s="1">
        <v>1.52E-2</v>
      </c>
      <c r="C38" s="1">
        <v>1.4800000000000001E-2</v>
      </c>
      <c r="D38" s="1">
        <v>1.54E-2</v>
      </c>
      <c r="E38" s="1">
        <v>1.4800000000000001E-2</v>
      </c>
      <c r="F38" s="1">
        <v>1.52E-2</v>
      </c>
      <c r="G38" s="1">
        <v>1.4999999999999999E-2</v>
      </c>
      <c r="H38" s="1">
        <v>1.47E-2</v>
      </c>
      <c r="I38" s="1">
        <v>1.49E-2</v>
      </c>
      <c r="J38" s="1">
        <v>1.43E-2</v>
      </c>
      <c r="K38" s="1">
        <v>1.37E-2</v>
      </c>
      <c r="L38" s="1">
        <v>1.54E-2</v>
      </c>
      <c r="M38" s="1">
        <v>1.46E-2</v>
      </c>
      <c r="N38" s="1">
        <v>1.47E-2</v>
      </c>
    </row>
    <row r="39" spans="1:14" x14ac:dyDescent="0.3">
      <c r="A39" s="22" t="s">
        <v>525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3">
      <c r="A40" s="22" t="s">
        <v>526</v>
      </c>
      <c r="B40" s="1">
        <v>0</v>
      </c>
      <c r="C40" s="1">
        <v>1.5800000000000002E-2</v>
      </c>
      <c r="D40" s="1">
        <v>1.61E-2</v>
      </c>
      <c r="E40" s="1">
        <v>1.6500000000000001E-2</v>
      </c>
      <c r="F40" s="1">
        <v>1.4E-2</v>
      </c>
      <c r="G40" s="1">
        <v>1.6799999999999999E-2</v>
      </c>
      <c r="H40" s="1">
        <v>1.6199999999999999E-2</v>
      </c>
      <c r="I40" s="1">
        <v>0</v>
      </c>
      <c r="J40" s="1">
        <v>0</v>
      </c>
      <c r="K40" s="1">
        <v>1.61E-2</v>
      </c>
      <c r="L40" s="1">
        <v>0</v>
      </c>
      <c r="M40" s="1">
        <v>1.6799999999999999E-2</v>
      </c>
      <c r="N40" s="1">
        <v>1.6299999999999999E-2</v>
      </c>
    </row>
    <row r="41" spans="1:14" x14ac:dyDescent="0.3">
      <c r="A41" s="22" t="s">
        <v>527</v>
      </c>
      <c r="B41" s="1">
        <v>8.9700000000000002E-2</v>
      </c>
      <c r="C41" s="1">
        <v>8.2500000000000004E-2</v>
      </c>
      <c r="D41" s="1">
        <v>0</v>
      </c>
      <c r="E41" s="1">
        <v>0</v>
      </c>
      <c r="F41" s="1">
        <v>9.1300000000000006E-2</v>
      </c>
      <c r="G41" s="1">
        <v>8.5099999999999995E-2</v>
      </c>
      <c r="H41" s="1">
        <v>8.6499999999999994E-2</v>
      </c>
      <c r="I41" s="1">
        <v>0</v>
      </c>
      <c r="J41" s="1">
        <v>8.6900000000000005E-2</v>
      </c>
      <c r="K41" s="1">
        <v>8.6999999999999994E-2</v>
      </c>
      <c r="L41" s="1">
        <v>8.5999999999999993E-2</v>
      </c>
      <c r="M41" s="1">
        <v>8.7800000000000003E-2</v>
      </c>
      <c r="N41" s="1">
        <v>8.6199999999999999E-2</v>
      </c>
    </row>
    <row r="42" spans="1:14" x14ac:dyDescent="0.3">
      <c r="A42" s="22" t="s">
        <v>528</v>
      </c>
      <c r="B42" s="1">
        <v>4.1000000000000002E-2</v>
      </c>
      <c r="C42" s="1">
        <v>0</v>
      </c>
      <c r="D42" s="1">
        <v>4.1700000000000001E-2</v>
      </c>
      <c r="E42" s="1">
        <v>4.0599999999999997E-2</v>
      </c>
      <c r="F42" s="1">
        <v>3.5900000000000001E-2</v>
      </c>
      <c r="G42" s="1">
        <v>4.0300000000000002E-2</v>
      </c>
      <c r="H42" s="1">
        <v>4.0300000000000002E-2</v>
      </c>
      <c r="I42" s="1">
        <v>4.1099999999999998E-2</v>
      </c>
      <c r="J42" s="1">
        <v>0</v>
      </c>
      <c r="K42" s="1">
        <v>4.0899999999999999E-2</v>
      </c>
      <c r="L42" s="1">
        <v>4.0800000000000003E-2</v>
      </c>
      <c r="M42" s="1">
        <v>4.0500000000000001E-2</v>
      </c>
      <c r="N42" s="1">
        <v>3.9899999999999998E-2</v>
      </c>
    </row>
    <row r="43" spans="1:14" x14ac:dyDescent="0.3">
      <c r="A43" s="24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</sheetData>
  <mergeCells count="1">
    <mergeCell ref="A1:XF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E7A55-64C0-4B45-8E73-BC97E5FEA298}">
  <dimension ref="A1:CF31"/>
  <sheetViews>
    <sheetView showGridLines="0" workbookViewId="0"/>
  </sheetViews>
  <sheetFormatPr baseColWidth="10" defaultRowHeight="14.4" x14ac:dyDescent="0.3"/>
  <cols>
    <col min="1" max="1" width="11.5546875" style="22"/>
    <col min="2" max="84" width="11.5546875" style="1"/>
  </cols>
  <sheetData>
    <row r="1" spans="1:73" s="32" customFormat="1" x14ac:dyDescent="0.3">
      <c r="A1" s="32" t="s">
        <v>884</v>
      </c>
    </row>
    <row r="4" spans="1:73" x14ac:dyDescent="0.3">
      <c r="B4" s="19" t="s">
        <v>2</v>
      </c>
      <c r="C4" s="19" t="s">
        <v>3</v>
      </c>
      <c r="D4" s="19" t="s">
        <v>737</v>
      </c>
      <c r="E4" s="19" t="s">
        <v>738</v>
      </c>
      <c r="F4" s="19" t="s">
        <v>739</v>
      </c>
      <c r="G4" s="19" t="s">
        <v>740</v>
      </c>
      <c r="H4" s="19" t="s">
        <v>741</v>
      </c>
      <c r="I4" s="19" t="s">
        <v>742</v>
      </c>
      <c r="J4" s="19" t="s">
        <v>743</v>
      </c>
      <c r="K4" s="19" t="s">
        <v>744</v>
      </c>
      <c r="L4" s="19" t="s">
        <v>745</v>
      </c>
      <c r="M4" s="19" t="s">
        <v>746</v>
      </c>
      <c r="N4" s="19" t="s">
        <v>747</v>
      </c>
      <c r="O4" s="19" t="s">
        <v>748</v>
      </c>
      <c r="P4" s="19" t="s">
        <v>749</v>
      </c>
      <c r="Q4" s="19" t="s">
        <v>750</v>
      </c>
      <c r="R4" s="19" t="s">
        <v>751</v>
      </c>
      <c r="S4" s="19" t="s">
        <v>752</v>
      </c>
      <c r="T4" s="19" t="s">
        <v>753</v>
      </c>
      <c r="U4" s="19" t="s">
        <v>754</v>
      </c>
      <c r="V4" s="19" t="s">
        <v>755</v>
      </c>
      <c r="W4" s="19" t="s">
        <v>756</v>
      </c>
      <c r="X4" s="19" t="s">
        <v>757</v>
      </c>
      <c r="Y4" s="19" t="s">
        <v>758</v>
      </c>
      <c r="Z4" s="19" t="s">
        <v>759</v>
      </c>
      <c r="AA4" s="19" t="s">
        <v>760</v>
      </c>
      <c r="AB4" s="19" t="s">
        <v>761</v>
      </c>
      <c r="AC4" s="19" t="s">
        <v>762</v>
      </c>
      <c r="AD4" s="19" t="s">
        <v>763</v>
      </c>
      <c r="AE4" s="19" t="s">
        <v>764</v>
      </c>
      <c r="AF4" s="19" t="s">
        <v>765</v>
      </c>
      <c r="AG4" s="19" t="s">
        <v>766</v>
      </c>
      <c r="AH4" s="19" t="s">
        <v>767</v>
      </c>
      <c r="AI4" s="19" t="s">
        <v>768</v>
      </c>
      <c r="AJ4" s="19" t="s">
        <v>769</v>
      </c>
      <c r="AK4" s="19" t="s">
        <v>770</v>
      </c>
      <c r="AL4" s="19" t="s">
        <v>771</v>
      </c>
      <c r="AM4" s="19" t="s">
        <v>772</v>
      </c>
      <c r="AN4" s="19" t="s">
        <v>773</v>
      </c>
      <c r="AO4" s="19" t="s">
        <v>774</v>
      </c>
      <c r="AP4" s="19" t="s">
        <v>775</v>
      </c>
      <c r="AQ4" s="19" t="s">
        <v>776</v>
      </c>
      <c r="AR4" s="19" t="s">
        <v>777</v>
      </c>
      <c r="AS4" s="19" t="s">
        <v>778</v>
      </c>
      <c r="AT4" s="19" t="s">
        <v>779</v>
      </c>
      <c r="AU4" s="19" t="s">
        <v>780</v>
      </c>
      <c r="AV4" s="19" t="s">
        <v>781</v>
      </c>
      <c r="AW4" s="19" t="s">
        <v>782</v>
      </c>
      <c r="AX4" s="19" t="s">
        <v>783</v>
      </c>
      <c r="AY4" s="19" t="s">
        <v>784</v>
      </c>
      <c r="AZ4" s="19" t="s">
        <v>785</v>
      </c>
      <c r="BA4" s="19" t="s">
        <v>786</v>
      </c>
      <c r="BB4" s="19" t="s">
        <v>787</v>
      </c>
      <c r="BC4" s="19" t="s">
        <v>788</v>
      </c>
      <c r="BD4" s="19" t="s">
        <v>789</v>
      </c>
      <c r="BE4" s="19" t="s">
        <v>790</v>
      </c>
      <c r="BF4" s="19" t="s">
        <v>791</v>
      </c>
      <c r="BG4" s="19" t="s">
        <v>792</v>
      </c>
      <c r="BH4" s="19" t="s">
        <v>793</v>
      </c>
      <c r="BI4" s="19" t="s">
        <v>794</v>
      </c>
      <c r="BJ4" s="19" t="s">
        <v>795</v>
      </c>
      <c r="BK4" s="19" t="s">
        <v>796</v>
      </c>
      <c r="BL4" s="19" t="s">
        <v>797</v>
      </c>
      <c r="BM4" s="19" t="s">
        <v>798</v>
      </c>
      <c r="BN4" s="19" t="s">
        <v>799</v>
      </c>
      <c r="BO4" s="19" t="s">
        <v>800</v>
      </c>
      <c r="BP4" s="19" t="s">
        <v>801</v>
      </c>
      <c r="BQ4" s="19" t="s">
        <v>802</v>
      </c>
      <c r="BR4" s="19" t="s">
        <v>803</v>
      </c>
      <c r="BS4" s="19" t="s">
        <v>804</v>
      </c>
      <c r="BT4" s="19" t="s">
        <v>805</v>
      </c>
      <c r="BU4" s="19" t="s">
        <v>806</v>
      </c>
    </row>
    <row r="5" spans="1:73" x14ac:dyDescent="0.3">
      <c r="B5" s="9" t="s">
        <v>530</v>
      </c>
      <c r="C5" s="9" t="s">
        <v>531</v>
      </c>
      <c r="D5" s="9" t="s">
        <v>532</v>
      </c>
      <c r="E5" s="9" t="s">
        <v>533</v>
      </c>
      <c r="F5" s="9" t="s">
        <v>534</v>
      </c>
      <c r="G5" s="9" t="s">
        <v>535</v>
      </c>
      <c r="H5" s="9" t="s">
        <v>536</v>
      </c>
      <c r="I5" s="9" t="s">
        <v>537</v>
      </c>
      <c r="J5" s="9" t="s">
        <v>538</v>
      </c>
      <c r="K5" s="9" t="s">
        <v>539</v>
      </c>
      <c r="L5" s="9" t="s">
        <v>540</v>
      </c>
      <c r="M5" s="9" t="s">
        <v>541</v>
      </c>
      <c r="N5" s="9" t="s">
        <v>542</v>
      </c>
      <c r="O5" s="9" t="s">
        <v>543</v>
      </c>
      <c r="P5" s="9" t="s">
        <v>544</v>
      </c>
      <c r="Q5" s="9" t="s">
        <v>545</v>
      </c>
      <c r="R5" s="9" t="s">
        <v>546</v>
      </c>
      <c r="S5" s="9" t="s">
        <v>547</v>
      </c>
      <c r="T5" s="9" t="s">
        <v>548</v>
      </c>
      <c r="U5" s="9" t="s">
        <v>549</v>
      </c>
      <c r="V5" s="9" t="s">
        <v>550</v>
      </c>
      <c r="W5" s="9" t="s">
        <v>551</v>
      </c>
      <c r="X5" s="9" t="s">
        <v>552</v>
      </c>
      <c r="Y5" s="9" t="s">
        <v>553</v>
      </c>
      <c r="Z5" s="9" t="s">
        <v>554</v>
      </c>
      <c r="AA5" s="9" t="s">
        <v>555</v>
      </c>
      <c r="AB5" s="9" t="s">
        <v>556</v>
      </c>
      <c r="AC5" s="23" t="s">
        <v>557</v>
      </c>
      <c r="AD5" s="23" t="s">
        <v>558</v>
      </c>
      <c r="AE5" s="9" t="s">
        <v>559</v>
      </c>
      <c r="AF5" s="9" t="s">
        <v>560</v>
      </c>
      <c r="AG5" s="9" t="s">
        <v>561</v>
      </c>
      <c r="AH5" s="9" t="s">
        <v>562</v>
      </c>
      <c r="AI5" s="9" t="s">
        <v>563</v>
      </c>
      <c r="AJ5" s="9" t="s">
        <v>564</v>
      </c>
      <c r="AK5" s="9" t="s">
        <v>565</v>
      </c>
      <c r="AL5" s="9" t="s">
        <v>566</v>
      </c>
      <c r="AM5" s="9" t="s">
        <v>567</v>
      </c>
      <c r="AN5" s="9" t="s">
        <v>568</v>
      </c>
      <c r="AO5" s="9" t="s">
        <v>569</v>
      </c>
      <c r="AP5" s="9" t="s">
        <v>570</v>
      </c>
      <c r="AQ5" s="9" t="s">
        <v>571</v>
      </c>
      <c r="AR5" s="9" t="s">
        <v>572</v>
      </c>
      <c r="AS5" s="9" t="s">
        <v>573</v>
      </c>
      <c r="AT5" s="9" t="s">
        <v>574</v>
      </c>
      <c r="AU5" s="9" t="s">
        <v>575</v>
      </c>
      <c r="AV5" s="9" t="s">
        <v>576</v>
      </c>
      <c r="AW5" s="9" t="s">
        <v>577</v>
      </c>
      <c r="AX5" s="9" t="s">
        <v>578</v>
      </c>
      <c r="AY5" s="9" t="s">
        <v>579</v>
      </c>
      <c r="AZ5" s="9" t="s">
        <v>580</v>
      </c>
      <c r="BA5" s="9" t="s">
        <v>581</v>
      </c>
      <c r="BB5" s="9" t="s">
        <v>582</v>
      </c>
      <c r="BC5" s="9" t="s">
        <v>583</v>
      </c>
      <c r="BD5" s="9" t="s">
        <v>584</v>
      </c>
      <c r="BE5" s="9" t="s">
        <v>585</v>
      </c>
      <c r="BF5" s="9" t="s">
        <v>586</v>
      </c>
      <c r="BG5" s="9" t="s">
        <v>587</v>
      </c>
      <c r="BH5" s="9" t="s">
        <v>588</v>
      </c>
      <c r="BI5" s="9" t="s">
        <v>589</v>
      </c>
      <c r="BJ5" s="9" t="s">
        <v>590</v>
      </c>
      <c r="BK5" s="9" t="s">
        <v>591</v>
      </c>
      <c r="BL5" s="9" t="s">
        <v>592</v>
      </c>
      <c r="BM5" s="9" t="s">
        <v>593</v>
      </c>
      <c r="BN5" s="9" t="s">
        <v>594</v>
      </c>
      <c r="BO5" s="9" t="s">
        <v>595</v>
      </c>
      <c r="BP5" s="9" t="s">
        <v>596</v>
      </c>
      <c r="BQ5" s="9" t="s">
        <v>597</v>
      </c>
      <c r="BR5" s="9" t="s">
        <v>598</v>
      </c>
      <c r="BS5" s="9" t="s">
        <v>599</v>
      </c>
      <c r="BT5" s="9" t="s">
        <v>600</v>
      </c>
      <c r="BU5" s="9" t="s">
        <v>601</v>
      </c>
    </row>
    <row r="6" spans="1:73" x14ac:dyDescent="0.3">
      <c r="A6" s="24" t="s">
        <v>161</v>
      </c>
      <c r="B6" s="10">
        <v>1.47E-2</v>
      </c>
      <c r="C6" s="10">
        <v>1.49E-2</v>
      </c>
      <c r="D6" s="10">
        <v>1.49E-2</v>
      </c>
      <c r="E6" s="10">
        <v>1.54E-2</v>
      </c>
      <c r="F6" s="10">
        <v>1.54E-2</v>
      </c>
      <c r="G6" s="10">
        <v>1.52E-2</v>
      </c>
      <c r="H6" s="10">
        <v>1.5699999999999999E-2</v>
      </c>
      <c r="I6" s="10">
        <v>1.3899999999999999E-2</v>
      </c>
      <c r="J6" s="10">
        <v>1.46E-2</v>
      </c>
      <c r="K6" s="10">
        <v>1.4E-2</v>
      </c>
      <c r="L6" s="10">
        <v>1.4200000000000001E-2</v>
      </c>
      <c r="M6" s="10">
        <v>1.44E-2</v>
      </c>
      <c r="N6" s="10">
        <v>1.3899999999999999E-2</v>
      </c>
      <c r="O6" s="10">
        <v>1.5599999999999999E-2</v>
      </c>
      <c r="P6" s="10">
        <v>1.6E-2</v>
      </c>
      <c r="Q6" s="10">
        <v>1.5100000000000001E-2</v>
      </c>
      <c r="R6" s="10">
        <v>1.54E-2</v>
      </c>
      <c r="S6" s="10">
        <v>1.4800000000000001E-2</v>
      </c>
      <c r="T6" s="10">
        <v>1.55E-2</v>
      </c>
      <c r="U6" s="10">
        <v>1.5800000000000002E-2</v>
      </c>
      <c r="V6" s="10">
        <v>1.5599999999999999E-2</v>
      </c>
      <c r="W6" s="10">
        <v>1.55E-2</v>
      </c>
      <c r="X6" s="10">
        <v>1.5299999999999999E-2</v>
      </c>
      <c r="Y6" s="10">
        <v>1.5699999999999999E-2</v>
      </c>
      <c r="Z6" s="10">
        <v>1.52E-2</v>
      </c>
      <c r="AA6" s="10">
        <v>1.52E-2</v>
      </c>
      <c r="AB6" s="10">
        <v>1.52E-2</v>
      </c>
      <c r="AC6" s="10">
        <v>1.4999999999999999E-2</v>
      </c>
      <c r="AD6" s="10">
        <v>1.5599999999999999E-2</v>
      </c>
      <c r="AE6" s="10">
        <v>1.5299999999999999E-2</v>
      </c>
      <c r="AF6" s="10">
        <v>1.5699999999999999E-2</v>
      </c>
      <c r="AG6" s="10">
        <v>1.49E-2</v>
      </c>
      <c r="AH6" s="10">
        <v>1.5299999999999999E-2</v>
      </c>
      <c r="AI6" s="10">
        <v>1.54E-2</v>
      </c>
      <c r="AJ6" s="10">
        <v>1.54E-2</v>
      </c>
      <c r="AK6" s="10">
        <v>1.47E-2</v>
      </c>
      <c r="AL6" s="10">
        <v>1.5599999999999999E-2</v>
      </c>
      <c r="AM6" s="10">
        <v>1.55E-2</v>
      </c>
      <c r="AN6" s="10">
        <v>1.5299999999999999E-2</v>
      </c>
      <c r="AO6" s="2">
        <v>1.5599999999999999E-2</v>
      </c>
      <c r="AP6" s="10">
        <v>1.6E-2</v>
      </c>
      <c r="AQ6" s="10">
        <v>1.47E-2</v>
      </c>
      <c r="AR6" s="10">
        <v>1.4999999999999999E-2</v>
      </c>
      <c r="AS6" s="10">
        <v>1.55E-2</v>
      </c>
      <c r="AT6" s="10">
        <v>1.5299999999999999E-2</v>
      </c>
      <c r="AU6" s="10">
        <v>1.6E-2</v>
      </c>
      <c r="AV6" s="10">
        <v>1.5699999999999999E-2</v>
      </c>
      <c r="AW6" s="10">
        <v>1.5800000000000002E-2</v>
      </c>
      <c r="AX6" s="10">
        <v>1.5800000000000002E-2</v>
      </c>
      <c r="AY6" s="10">
        <v>1.5800000000000002E-2</v>
      </c>
      <c r="AZ6" s="10">
        <v>1.5100000000000001E-2</v>
      </c>
      <c r="BA6" s="10">
        <v>1.5599999999999999E-2</v>
      </c>
      <c r="BB6" s="10">
        <v>1.5100000000000001E-2</v>
      </c>
      <c r="BC6" s="10">
        <v>1.47E-2</v>
      </c>
      <c r="BD6" s="10">
        <v>1.44E-2</v>
      </c>
      <c r="BE6" s="10">
        <v>1.49E-2</v>
      </c>
      <c r="BF6" s="1">
        <v>1.61E-2</v>
      </c>
      <c r="BG6" s="1">
        <v>1.4999999999999999E-2</v>
      </c>
      <c r="BH6" s="1">
        <v>1.49E-2</v>
      </c>
      <c r="BI6" s="1">
        <v>1.4800000000000001E-2</v>
      </c>
      <c r="BJ6" s="1">
        <v>1.4800000000000001E-2</v>
      </c>
      <c r="BK6" s="1">
        <v>1.4800000000000001E-2</v>
      </c>
      <c r="BL6" s="1">
        <v>1.54E-2</v>
      </c>
      <c r="BM6" s="1">
        <v>1.54E-2</v>
      </c>
      <c r="BN6" s="1">
        <v>1.47E-2</v>
      </c>
      <c r="BO6" s="1">
        <v>1.43E-2</v>
      </c>
      <c r="BP6" s="1">
        <v>1.43E-2</v>
      </c>
      <c r="BQ6" s="1">
        <v>1.47E-2</v>
      </c>
      <c r="BR6" s="1">
        <v>1.4500000000000001E-2</v>
      </c>
      <c r="BS6" s="1">
        <v>1.4200000000000001E-2</v>
      </c>
      <c r="BT6" s="1">
        <v>1.37E-2</v>
      </c>
      <c r="BU6" s="1">
        <v>1.41E-2</v>
      </c>
    </row>
    <row r="7" spans="1:73" x14ac:dyDescent="0.3">
      <c r="A7" s="22" t="s">
        <v>162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2.0199999999999999E-2</v>
      </c>
      <c r="J7" s="10">
        <v>2.07E-2</v>
      </c>
      <c r="K7" s="10">
        <v>1.5599999999999999E-2</v>
      </c>
      <c r="L7" s="10">
        <v>2.06E-2</v>
      </c>
      <c r="M7" s="10">
        <v>1.9699999999999999E-2</v>
      </c>
      <c r="N7" s="10">
        <v>2.0500000000000001E-2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2.2800000000000001E-2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2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1.6400000000000001E-2</v>
      </c>
      <c r="BC7" s="10">
        <v>1.7000000000000001E-2</v>
      </c>
      <c r="BD7" s="10">
        <v>1.66E-2</v>
      </c>
      <c r="BE7" s="10">
        <v>1.66E-2</v>
      </c>
      <c r="BF7" s="1">
        <v>1.66E-2</v>
      </c>
      <c r="BG7" s="1">
        <v>1.6799999999999999E-2</v>
      </c>
      <c r="BH7" s="1">
        <v>1.6500000000000001E-2</v>
      </c>
      <c r="BI7" s="1">
        <v>1.61E-2</v>
      </c>
      <c r="BJ7" s="1">
        <v>1.6500000000000001E-2</v>
      </c>
      <c r="BK7" s="1">
        <v>1.6500000000000001E-2</v>
      </c>
      <c r="BL7" s="1">
        <v>0</v>
      </c>
      <c r="BM7" s="1">
        <v>0</v>
      </c>
      <c r="BN7" s="1">
        <v>1.6400000000000001E-2</v>
      </c>
      <c r="BO7" s="1">
        <v>1.67E-2</v>
      </c>
      <c r="BP7" s="1">
        <v>1.7000000000000001E-2</v>
      </c>
      <c r="BQ7" s="1">
        <v>2.0899999999999998E-2</v>
      </c>
      <c r="BR7" s="1">
        <v>2.0899999999999998E-2</v>
      </c>
      <c r="BS7" s="1">
        <v>2.1100000000000001E-2</v>
      </c>
      <c r="BT7" s="1">
        <v>2.0799999999999999E-2</v>
      </c>
      <c r="BU7" s="1">
        <v>2.0899999999999998E-2</v>
      </c>
    </row>
    <row r="8" spans="1:73" x14ac:dyDescent="0.3">
      <c r="A8" s="22" t="s">
        <v>163</v>
      </c>
      <c r="B8" s="10">
        <v>1.29E-2</v>
      </c>
      <c r="C8" s="10">
        <v>1.2500000000000001E-2</v>
      </c>
      <c r="D8" s="10">
        <v>1.3100000000000001E-2</v>
      </c>
      <c r="E8" s="10">
        <v>1.29E-2</v>
      </c>
      <c r="F8" s="10">
        <v>1.17E-2</v>
      </c>
      <c r="G8" s="10">
        <v>1.2200000000000001E-2</v>
      </c>
      <c r="H8" s="10">
        <v>1.2E-2</v>
      </c>
      <c r="I8" s="10">
        <v>1.24E-2</v>
      </c>
      <c r="J8" s="10">
        <v>1.2800000000000001E-2</v>
      </c>
      <c r="K8" s="10">
        <v>1.14E-2</v>
      </c>
      <c r="L8" s="10">
        <v>1.2500000000000001E-2</v>
      </c>
      <c r="M8" s="10">
        <v>1.18E-2</v>
      </c>
      <c r="N8" s="10">
        <v>1.26E-2</v>
      </c>
      <c r="O8" s="10">
        <v>1.5100000000000001E-2</v>
      </c>
      <c r="P8" s="10">
        <v>1.5100000000000001E-2</v>
      </c>
      <c r="Q8" s="10">
        <v>1.5800000000000002E-2</v>
      </c>
      <c r="R8" s="10">
        <v>1.5800000000000002E-2</v>
      </c>
      <c r="S8" s="10">
        <v>1.5599999999999999E-2</v>
      </c>
      <c r="T8" s="10">
        <v>1.4999999999999999E-2</v>
      </c>
      <c r="U8" s="10">
        <v>1.52E-2</v>
      </c>
      <c r="V8" s="10">
        <v>1.52E-2</v>
      </c>
      <c r="W8" s="10">
        <v>1.55E-2</v>
      </c>
      <c r="X8" s="10">
        <v>1.5299999999999999E-2</v>
      </c>
      <c r="Y8" s="10">
        <v>1.5599999999999999E-2</v>
      </c>
      <c r="Z8" s="10">
        <v>1.5599999999999999E-2</v>
      </c>
      <c r="AA8" s="10">
        <v>1.4800000000000001E-2</v>
      </c>
      <c r="AB8" s="10">
        <v>1.4800000000000001E-2</v>
      </c>
      <c r="AC8" s="10">
        <v>1.5100000000000001E-2</v>
      </c>
      <c r="AD8" s="10">
        <v>0</v>
      </c>
      <c r="AE8" s="10">
        <v>1.5699999999999999E-2</v>
      </c>
      <c r="AF8" s="10">
        <v>1.29E-2</v>
      </c>
      <c r="AG8" s="10">
        <v>1.52E-2</v>
      </c>
      <c r="AH8" s="10">
        <v>1.55E-2</v>
      </c>
      <c r="AI8" s="10">
        <v>1.6400000000000001E-2</v>
      </c>
      <c r="AJ8" s="10">
        <v>1.55E-2</v>
      </c>
      <c r="AK8" s="10">
        <v>1.4500000000000001E-2</v>
      </c>
      <c r="AL8" s="10">
        <v>1.5299999999999999E-2</v>
      </c>
      <c r="AM8" s="10">
        <v>1.47E-2</v>
      </c>
      <c r="AN8" s="10">
        <v>1.4999999999999999E-2</v>
      </c>
      <c r="AO8" s="2">
        <v>1.5299999999999999E-2</v>
      </c>
      <c r="AP8" s="10">
        <v>1.46E-2</v>
      </c>
      <c r="AQ8" s="10">
        <v>1.5100000000000001E-2</v>
      </c>
      <c r="AR8" s="10">
        <v>1.52E-2</v>
      </c>
      <c r="AS8" s="10">
        <v>1.5599999999999999E-2</v>
      </c>
      <c r="AT8" s="10">
        <v>1.5900000000000001E-2</v>
      </c>
      <c r="AU8" s="10">
        <v>1.49E-2</v>
      </c>
      <c r="AV8" s="10">
        <v>1.4999999999999999E-2</v>
      </c>
      <c r="AW8" s="10">
        <v>1.4999999999999999E-2</v>
      </c>
      <c r="AX8" s="10">
        <v>1.61E-2</v>
      </c>
      <c r="AY8" s="10">
        <v>1.5900000000000001E-2</v>
      </c>
      <c r="AZ8" s="10">
        <v>1.44E-2</v>
      </c>
      <c r="BA8" s="10">
        <v>1.5100000000000001E-2</v>
      </c>
      <c r="BB8" s="10">
        <v>1.14E-2</v>
      </c>
      <c r="BC8" s="10">
        <v>1.1299999999999999E-2</v>
      </c>
      <c r="BD8" s="10">
        <v>1.12E-2</v>
      </c>
      <c r="BE8" s="10">
        <v>1.1599999999999999E-2</v>
      </c>
      <c r="BF8" s="1">
        <v>1.18E-2</v>
      </c>
      <c r="BG8" s="1">
        <v>1.17E-2</v>
      </c>
      <c r="BH8" s="1">
        <v>1.12E-2</v>
      </c>
      <c r="BI8" s="1">
        <v>1.14E-2</v>
      </c>
      <c r="BJ8" s="1">
        <v>1.15E-2</v>
      </c>
      <c r="BK8" s="1">
        <v>1.11E-2</v>
      </c>
      <c r="BL8" s="1">
        <v>1.43E-2</v>
      </c>
      <c r="BM8" s="1">
        <v>1.55E-2</v>
      </c>
      <c r="BN8" s="1">
        <v>1.1299999999999999E-2</v>
      </c>
      <c r="BO8" s="1">
        <v>1.09E-2</v>
      </c>
      <c r="BP8" s="1">
        <v>1.14E-2</v>
      </c>
      <c r="BQ8" s="1">
        <v>1.26E-2</v>
      </c>
      <c r="BR8" s="1">
        <v>1.24E-2</v>
      </c>
      <c r="BS8" s="1">
        <v>1.21E-2</v>
      </c>
      <c r="BT8" s="1">
        <v>1.2500000000000001E-2</v>
      </c>
      <c r="BU8" s="1">
        <v>1.17E-2</v>
      </c>
    </row>
    <row r="9" spans="1:73" x14ac:dyDescent="0.3">
      <c r="A9" s="22" t="s">
        <v>191</v>
      </c>
      <c r="B9" s="10">
        <v>0</v>
      </c>
      <c r="C9" s="10">
        <v>9.2700000000000005E-2</v>
      </c>
      <c r="D9" s="10">
        <v>9.3899999999999997E-2</v>
      </c>
      <c r="E9" s="10">
        <v>0</v>
      </c>
      <c r="F9" s="10">
        <v>0</v>
      </c>
      <c r="G9" s="10">
        <v>9.2299999999999993E-2</v>
      </c>
      <c r="H9" s="10">
        <v>9.1399999999999995E-2</v>
      </c>
      <c r="I9" s="10">
        <v>9.74E-2</v>
      </c>
      <c r="J9" s="10">
        <v>0</v>
      </c>
      <c r="K9" s="10">
        <v>9.4600000000000004E-2</v>
      </c>
      <c r="L9" s="10">
        <v>0</v>
      </c>
      <c r="M9" s="10">
        <v>9.0700000000000003E-2</v>
      </c>
      <c r="N9" s="10">
        <v>8.5500000000000007E-2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9.5500000000000002E-2</v>
      </c>
      <c r="W9" s="10">
        <v>0.10050000000000001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9.3200000000000005E-2</v>
      </c>
      <c r="AD9" s="10">
        <v>8.9899999999999994E-2</v>
      </c>
      <c r="AE9" s="10">
        <v>9.7900000000000001E-2</v>
      </c>
      <c r="AF9" s="10">
        <v>9.7600000000000006E-2</v>
      </c>
      <c r="AG9" s="10">
        <v>0</v>
      </c>
      <c r="AH9" s="10">
        <v>0</v>
      </c>
      <c r="AI9" s="10">
        <v>8.9099999999999999E-2</v>
      </c>
      <c r="AJ9" s="10">
        <v>0</v>
      </c>
      <c r="AK9" s="10">
        <v>9.64E-2</v>
      </c>
      <c r="AL9" s="10">
        <v>9.2600000000000002E-2</v>
      </c>
      <c r="AM9" s="10">
        <v>9.3200000000000005E-2</v>
      </c>
      <c r="AN9" s="10">
        <v>0</v>
      </c>
      <c r="AO9" s="2">
        <v>0</v>
      </c>
      <c r="AP9" s="10">
        <v>8.9499999999999996E-2</v>
      </c>
      <c r="AQ9" s="10" t="s">
        <v>160</v>
      </c>
      <c r="AR9" s="10">
        <v>9.8000000000000004E-2</v>
      </c>
      <c r="AS9" s="10">
        <v>9.2799999999999994E-2</v>
      </c>
      <c r="AT9" s="10">
        <v>0</v>
      </c>
      <c r="AU9" s="10">
        <v>0</v>
      </c>
      <c r="AV9" s="10">
        <v>9.4299999999999995E-2</v>
      </c>
      <c r="AW9" s="10">
        <v>0</v>
      </c>
      <c r="AX9" s="10">
        <v>8.7999999999999995E-2</v>
      </c>
      <c r="AY9" s="10">
        <v>9.8900000000000002E-2</v>
      </c>
      <c r="AZ9" s="10">
        <v>0</v>
      </c>
      <c r="BA9" s="10">
        <v>0</v>
      </c>
      <c r="BB9" s="10">
        <v>9.0499999999999997E-2</v>
      </c>
      <c r="BC9" s="10">
        <v>8.9700000000000002E-2</v>
      </c>
      <c r="BD9" s="10">
        <v>8.9499999999999996E-2</v>
      </c>
      <c r="BE9" s="10">
        <v>9.5100000000000004E-2</v>
      </c>
      <c r="BF9" s="1">
        <v>9.8699999999999996E-2</v>
      </c>
      <c r="BG9" s="1">
        <v>9.5299999999999996E-2</v>
      </c>
      <c r="BH9" s="1">
        <v>9.1399999999999995E-2</v>
      </c>
      <c r="BI9" s="1">
        <v>8.5599999999999996E-2</v>
      </c>
      <c r="BJ9" s="1">
        <v>9.6799999999999997E-2</v>
      </c>
      <c r="BK9" s="1">
        <v>8.7900000000000006E-2</v>
      </c>
      <c r="BL9" s="1">
        <v>9.2799999999999994E-2</v>
      </c>
      <c r="BM9" s="1">
        <v>9.4399999999999998E-2</v>
      </c>
      <c r="BN9" s="1">
        <v>8.48E-2</v>
      </c>
      <c r="BO9" s="1">
        <v>9.0499999999999997E-2</v>
      </c>
      <c r="BP9" s="1">
        <v>8.3699999999999997E-2</v>
      </c>
      <c r="BQ9" s="1">
        <v>8.9200000000000002E-2</v>
      </c>
      <c r="BR9" s="1">
        <v>9.5299999999999996E-2</v>
      </c>
      <c r="BS9" s="1">
        <v>8.3699999999999997E-2</v>
      </c>
      <c r="BT9" s="1">
        <v>8.9599999999999999E-2</v>
      </c>
      <c r="BU9" s="1">
        <v>9.06E-2</v>
      </c>
    </row>
    <row r="10" spans="1:73" x14ac:dyDescent="0.3">
      <c r="A10" s="22" t="s">
        <v>164</v>
      </c>
      <c r="B10" s="10">
        <v>3.6700000000000003E-2</v>
      </c>
      <c r="C10" s="10">
        <v>3.5499999999999997E-2</v>
      </c>
      <c r="D10" s="10">
        <v>3.6700000000000003E-2</v>
      </c>
      <c r="E10" s="10">
        <v>3.6999999999999998E-2</v>
      </c>
      <c r="F10" s="10">
        <v>3.4099999999999998E-2</v>
      </c>
      <c r="G10" s="10">
        <v>3.4299999999999997E-2</v>
      </c>
      <c r="H10" s="10">
        <v>3.3500000000000002E-2</v>
      </c>
      <c r="I10" s="10">
        <v>3.1300000000000001E-2</v>
      </c>
      <c r="J10" s="10">
        <v>3.1699999999999999E-2</v>
      </c>
      <c r="K10" s="10">
        <v>2.7699999999999999E-2</v>
      </c>
      <c r="L10" s="10">
        <v>3.1600000000000003E-2</v>
      </c>
      <c r="M10" s="10">
        <v>3.2000000000000001E-2</v>
      </c>
      <c r="N10" s="10">
        <v>3.0800000000000001E-2</v>
      </c>
      <c r="O10" s="10">
        <v>3.73E-2</v>
      </c>
      <c r="P10" s="10">
        <v>3.7100000000000001E-2</v>
      </c>
      <c r="Q10" s="10">
        <v>3.5099999999999999E-2</v>
      </c>
      <c r="R10" s="10">
        <v>3.6900000000000002E-2</v>
      </c>
      <c r="S10" s="10">
        <v>3.4200000000000001E-2</v>
      </c>
      <c r="T10" s="10">
        <v>3.6499999999999998E-2</v>
      </c>
      <c r="U10" s="10">
        <v>3.6200000000000003E-2</v>
      </c>
      <c r="V10" s="10">
        <v>3.6499999999999998E-2</v>
      </c>
      <c r="W10" s="10">
        <v>3.5499999999999997E-2</v>
      </c>
      <c r="X10" s="10">
        <v>3.6299999999999999E-2</v>
      </c>
      <c r="Y10" s="10">
        <v>3.7100000000000001E-2</v>
      </c>
      <c r="Z10" s="10">
        <v>3.4500000000000003E-2</v>
      </c>
      <c r="AA10" s="10">
        <v>3.56E-2</v>
      </c>
      <c r="AB10" s="10">
        <v>3.6299999999999999E-2</v>
      </c>
      <c r="AC10" s="10">
        <v>3.6900000000000002E-2</v>
      </c>
      <c r="AD10" s="10">
        <v>3.5700000000000003E-2</v>
      </c>
      <c r="AE10" s="10">
        <v>3.5900000000000001E-2</v>
      </c>
      <c r="AF10" s="10">
        <v>3.5799999999999998E-2</v>
      </c>
      <c r="AG10" s="10">
        <v>3.5799999999999998E-2</v>
      </c>
      <c r="AH10" s="10">
        <v>3.6799999999999999E-2</v>
      </c>
      <c r="AI10" s="10">
        <v>3.4000000000000002E-2</v>
      </c>
      <c r="AJ10" s="10">
        <v>3.6299999999999999E-2</v>
      </c>
      <c r="AK10" s="10">
        <v>3.6400000000000002E-2</v>
      </c>
      <c r="AL10" s="10">
        <v>3.5000000000000003E-2</v>
      </c>
      <c r="AM10" s="10">
        <v>3.5799999999999998E-2</v>
      </c>
      <c r="AN10" s="10">
        <v>3.5400000000000001E-2</v>
      </c>
      <c r="AO10" s="2">
        <v>3.6200000000000003E-2</v>
      </c>
      <c r="AP10" s="10">
        <v>3.5499999999999997E-2</v>
      </c>
      <c r="AQ10" s="10">
        <v>3.6200000000000003E-2</v>
      </c>
      <c r="AR10" s="10">
        <v>3.5900000000000001E-2</v>
      </c>
      <c r="AS10" s="10">
        <v>3.6700000000000003E-2</v>
      </c>
      <c r="AT10" s="10">
        <v>3.5999999999999997E-2</v>
      </c>
      <c r="AU10" s="10">
        <v>3.6799999999999999E-2</v>
      </c>
      <c r="AV10" s="10">
        <v>3.5499999999999997E-2</v>
      </c>
      <c r="AW10" s="10">
        <v>3.5700000000000003E-2</v>
      </c>
      <c r="AX10" s="10">
        <v>3.6700000000000003E-2</v>
      </c>
      <c r="AY10" s="10">
        <v>3.6799999999999999E-2</v>
      </c>
      <c r="AZ10" s="10">
        <v>3.6600000000000001E-2</v>
      </c>
      <c r="BA10" s="10">
        <v>3.7400000000000003E-2</v>
      </c>
      <c r="BB10" s="10">
        <v>2.8899999999999999E-2</v>
      </c>
      <c r="BC10" s="10">
        <v>3.1E-2</v>
      </c>
      <c r="BD10" s="10">
        <v>2.8199999999999999E-2</v>
      </c>
      <c r="BE10" s="10">
        <v>2.9700000000000001E-2</v>
      </c>
      <c r="BF10" s="1">
        <v>3.1199999999999999E-2</v>
      </c>
      <c r="BG10" s="1">
        <v>2.9899999999999999E-2</v>
      </c>
      <c r="BH10" s="1">
        <v>2.9000000000000001E-2</v>
      </c>
      <c r="BI10" s="1">
        <v>3.1300000000000001E-2</v>
      </c>
      <c r="BJ10" s="1">
        <v>3.1E-2</v>
      </c>
      <c r="BK10" s="1">
        <v>2.93E-2</v>
      </c>
      <c r="BL10" s="1">
        <v>3.56E-2</v>
      </c>
      <c r="BM10" s="1">
        <v>3.5799999999999998E-2</v>
      </c>
      <c r="BN10" s="1">
        <v>2.92E-2</v>
      </c>
      <c r="BO10" s="1">
        <v>3.0099999999999998E-2</v>
      </c>
      <c r="BP10" s="1">
        <v>3.0200000000000001E-2</v>
      </c>
      <c r="BQ10" s="1">
        <v>3.1099999999999999E-2</v>
      </c>
      <c r="BR10" s="1">
        <v>3.2399999999999998E-2</v>
      </c>
      <c r="BS10" s="1">
        <v>3.2500000000000001E-2</v>
      </c>
      <c r="BT10" s="1">
        <v>3.2099999999999997E-2</v>
      </c>
      <c r="BU10" s="1">
        <v>0</v>
      </c>
    </row>
    <row r="11" spans="1:73" x14ac:dyDescent="0.3">
      <c r="A11" s="22" t="s">
        <v>188</v>
      </c>
      <c r="B11" s="10">
        <v>1.44E-2</v>
      </c>
      <c r="C11" s="10">
        <v>1.3299999999999999E-2</v>
      </c>
      <c r="D11" s="10">
        <v>1.35E-2</v>
      </c>
      <c r="E11" s="10">
        <v>1.3899999999999999E-2</v>
      </c>
      <c r="F11" s="10">
        <v>1.21E-2</v>
      </c>
      <c r="G11" s="10">
        <v>1.24E-2</v>
      </c>
      <c r="H11" s="10">
        <v>1.2800000000000001E-2</v>
      </c>
      <c r="I11" s="10">
        <v>1.3100000000000001E-2</v>
      </c>
      <c r="J11" s="10">
        <v>1.29E-2</v>
      </c>
      <c r="K11" s="10">
        <v>1.38E-2</v>
      </c>
      <c r="L11" s="10">
        <v>1.29E-2</v>
      </c>
      <c r="M11" s="10">
        <v>1.37E-2</v>
      </c>
      <c r="N11" s="10">
        <v>1.3299999999999999E-2</v>
      </c>
      <c r="O11" s="10">
        <v>1.54E-2</v>
      </c>
      <c r="P11" s="10">
        <v>0</v>
      </c>
      <c r="Q11" s="10">
        <v>1.6E-2</v>
      </c>
      <c r="R11" s="10">
        <v>1.4999999999999999E-2</v>
      </c>
      <c r="S11" s="10">
        <v>1.4999999999999999E-2</v>
      </c>
      <c r="T11" s="10">
        <v>0</v>
      </c>
      <c r="U11" s="10">
        <v>1.41E-2</v>
      </c>
      <c r="V11" s="10">
        <v>1.46E-2</v>
      </c>
      <c r="W11" s="10">
        <v>1.52E-2</v>
      </c>
      <c r="X11" s="10">
        <v>1.52E-2</v>
      </c>
      <c r="Y11" s="10">
        <v>0</v>
      </c>
      <c r="Z11" s="10">
        <v>1.52E-2</v>
      </c>
      <c r="AA11" s="10">
        <v>1.4800000000000001E-2</v>
      </c>
      <c r="AB11" s="10">
        <v>1.4999999999999999E-2</v>
      </c>
      <c r="AC11" s="10">
        <v>1.5599999999999999E-2</v>
      </c>
      <c r="AD11" s="10">
        <v>1.6299999999999999E-2</v>
      </c>
      <c r="AE11" s="10">
        <v>1.61E-2</v>
      </c>
      <c r="AF11" s="10">
        <v>1.3899999999999999E-2</v>
      </c>
      <c r="AG11" s="10">
        <v>0</v>
      </c>
      <c r="AH11" s="10">
        <v>1.54E-2</v>
      </c>
      <c r="AI11" s="10">
        <v>1.5800000000000002E-2</v>
      </c>
      <c r="AJ11" s="10">
        <v>0</v>
      </c>
      <c r="AK11" s="10">
        <v>1.5900000000000001E-2</v>
      </c>
      <c r="AL11" s="10">
        <v>0</v>
      </c>
      <c r="AM11" s="10">
        <v>0</v>
      </c>
      <c r="AN11" s="10">
        <v>1.5299999999999999E-2</v>
      </c>
      <c r="AO11" s="2">
        <v>0</v>
      </c>
      <c r="AP11" s="10">
        <v>0</v>
      </c>
      <c r="AQ11" s="10">
        <v>0</v>
      </c>
      <c r="AR11" s="10">
        <v>0</v>
      </c>
      <c r="AS11" s="10">
        <v>1.6E-2</v>
      </c>
      <c r="AT11" s="10">
        <v>0</v>
      </c>
      <c r="AU11" s="10">
        <v>1.5699999999999999E-2</v>
      </c>
      <c r="AV11" s="10">
        <v>1.5900000000000001E-2</v>
      </c>
      <c r="AW11" s="10">
        <v>0</v>
      </c>
      <c r="AX11" s="10">
        <v>1.6E-2</v>
      </c>
      <c r="AY11" s="10">
        <v>1.5100000000000001E-2</v>
      </c>
      <c r="AZ11" s="10">
        <v>1.55E-2</v>
      </c>
      <c r="BA11" s="10">
        <v>0</v>
      </c>
      <c r="BB11" s="10">
        <v>1.1599999999999999E-2</v>
      </c>
      <c r="BC11" s="10">
        <v>1.1900000000000001E-2</v>
      </c>
      <c r="BD11" s="10">
        <v>1.1900000000000001E-2</v>
      </c>
      <c r="BE11" s="10">
        <v>1.15E-2</v>
      </c>
      <c r="BF11" s="1">
        <v>1.2E-2</v>
      </c>
      <c r="BG11" s="1">
        <v>1.2200000000000001E-2</v>
      </c>
      <c r="BH11" s="1">
        <v>1.11E-2</v>
      </c>
      <c r="BI11" s="1">
        <v>1.15E-2</v>
      </c>
      <c r="BJ11" s="1">
        <v>1.1599999999999999E-2</v>
      </c>
      <c r="BK11" s="1">
        <v>1.14E-2</v>
      </c>
      <c r="BL11" s="1">
        <v>1.5800000000000002E-2</v>
      </c>
      <c r="BM11" s="1">
        <v>1.6500000000000001E-2</v>
      </c>
      <c r="BN11" s="1">
        <v>1.17E-2</v>
      </c>
      <c r="BO11" s="1">
        <v>1.0999999999999999E-2</v>
      </c>
      <c r="BP11" s="1">
        <v>1.24E-2</v>
      </c>
      <c r="BQ11" s="1">
        <v>1.35E-2</v>
      </c>
      <c r="BR11" s="1">
        <v>1.3100000000000001E-2</v>
      </c>
      <c r="BS11" s="1">
        <v>1.3599999999999999E-2</v>
      </c>
      <c r="BT11" s="1">
        <v>1.29E-2</v>
      </c>
      <c r="BU11" s="1">
        <v>1.4E-2</v>
      </c>
    </row>
    <row r="12" spans="1:73" x14ac:dyDescent="0.3">
      <c r="A12" s="22" t="s">
        <v>165</v>
      </c>
      <c r="B12" s="10">
        <v>1.66E-2</v>
      </c>
      <c r="C12" s="10">
        <v>1.6500000000000001E-2</v>
      </c>
      <c r="D12" s="10">
        <v>1.66E-2</v>
      </c>
      <c r="E12" s="10">
        <v>1.6500000000000001E-2</v>
      </c>
      <c r="F12" s="10">
        <v>1.5900000000000001E-2</v>
      </c>
      <c r="G12" s="10">
        <v>1.6E-2</v>
      </c>
      <c r="H12" s="10">
        <v>1.61E-2</v>
      </c>
      <c r="I12" s="10">
        <v>1.7000000000000001E-2</v>
      </c>
      <c r="J12" s="10">
        <v>1.72E-2</v>
      </c>
      <c r="K12" s="10">
        <v>1.35E-2</v>
      </c>
      <c r="L12" s="10">
        <v>1.67E-2</v>
      </c>
      <c r="M12" s="10">
        <v>1.6899999999999998E-2</v>
      </c>
      <c r="N12" s="10">
        <v>1.67E-2</v>
      </c>
      <c r="O12" s="10">
        <v>1.67E-2</v>
      </c>
      <c r="P12" s="10">
        <v>1.66E-2</v>
      </c>
      <c r="Q12" s="10">
        <v>1.4200000000000001E-2</v>
      </c>
      <c r="R12" s="10">
        <v>1.67E-2</v>
      </c>
      <c r="S12" s="10">
        <v>1.46E-2</v>
      </c>
      <c r="T12" s="10">
        <v>1.6899999999999998E-2</v>
      </c>
      <c r="U12" s="10">
        <v>1.6500000000000001E-2</v>
      </c>
      <c r="V12" s="10">
        <v>1.6799999999999999E-2</v>
      </c>
      <c r="W12" s="10">
        <v>1.6400000000000001E-2</v>
      </c>
      <c r="X12" s="10">
        <v>1.6799999999999999E-2</v>
      </c>
      <c r="Y12" s="10">
        <v>1.66E-2</v>
      </c>
      <c r="Z12" s="10">
        <v>1.6199999999999999E-2</v>
      </c>
      <c r="AA12" s="10">
        <v>1.6299999999999999E-2</v>
      </c>
      <c r="AB12" s="10">
        <v>1.6500000000000001E-2</v>
      </c>
      <c r="AC12" s="10">
        <v>1.61E-2</v>
      </c>
      <c r="AD12" s="10">
        <v>1.44E-2</v>
      </c>
      <c r="AE12" s="10">
        <v>1.43E-2</v>
      </c>
      <c r="AF12" s="10">
        <v>1.6400000000000001E-2</v>
      </c>
      <c r="AG12" s="10">
        <v>1.6500000000000001E-2</v>
      </c>
      <c r="AH12" s="10">
        <v>1.43E-2</v>
      </c>
      <c r="AI12" s="10">
        <v>1.4200000000000001E-2</v>
      </c>
      <c r="AJ12" s="10">
        <v>1.6199999999999999E-2</v>
      </c>
      <c r="AK12" s="10">
        <v>1.5900000000000001E-2</v>
      </c>
      <c r="AL12" s="10">
        <v>1.5800000000000002E-2</v>
      </c>
      <c r="AM12" s="10">
        <v>1.5699999999999999E-2</v>
      </c>
      <c r="AN12" s="10">
        <v>1.5800000000000002E-2</v>
      </c>
      <c r="AO12" s="2">
        <v>1.5800000000000002E-2</v>
      </c>
      <c r="AP12" s="10">
        <v>1.55E-2</v>
      </c>
      <c r="AQ12" s="10">
        <v>1.6299999999999999E-2</v>
      </c>
      <c r="AR12" s="10">
        <v>1.5699999999999999E-2</v>
      </c>
      <c r="AS12" s="10">
        <v>1.61E-2</v>
      </c>
      <c r="AT12" s="10">
        <v>1.5800000000000002E-2</v>
      </c>
      <c r="AU12" s="10">
        <v>1.6E-2</v>
      </c>
      <c r="AV12" s="10">
        <v>1.61E-2</v>
      </c>
      <c r="AW12" s="10">
        <v>1.6199999999999999E-2</v>
      </c>
      <c r="AX12" s="10">
        <v>1.5599999999999999E-2</v>
      </c>
      <c r="AY12" s="10">
        <v>1.5800000000000002E-2</v>
      </c>
      <c r="AZ12" s="10">
        <v>1.61E-2</v>
      </c>
      <c r="BA12" s="10">
        <v>1.6199999999999999E-2</v>
      </c>
      <c r="BB12" s="10">
        <v>1.47E-2</v>
      </c>
      <c r="BC12" s="10">
        <v>1.5299999999999999E-2</v>
      </c>
      <c r="BD12" s="10">
        <v>1.46E-2</v>
      </c>
      <c r="BE12" s="10">
        <v>1.49E-2</v>
      </c>
      <c r="BF12" s="1">
        <v>1.44E-2</v>
      </c>
      <c r="BG12" s="1">
        <v>1.49E-2</v>
      </c>
      <c r="BH12" s="1">
        <v>1.47E-2</v>
      </c>
      <c r="BI12" s="1">
        <v>1.52E-2</v>
      </c>
      <c r="BJ12" s="1">
        <v>1.5100000000000001E-2</v>
      </c>
      <c r="BK12" s="1">
        <v>1.47E-2</v>
      </c>
      <c r="BL12" s="1">
        <v>1.5599999999999999E-2</v>
      </c>
      <c r="BM12" s="1">
        <v>1.55E-2</v>
      </c>
      <c r="BN12" s="1">
        <v>1.5100000000000001E-2</v>
      </c>
      <c r="BO12" s="1">
        <v>1.4800000000000001E-2</v>
      </c>
      <c r="BP12" s="1">
        <v>1.4800000000000001E-2</v>
      </c>
      <c r="BQ12" s="1">
        <v>1.72E-2</v>
      </c>
      <c r="BR12" s="1">
        <v>1.7000000000000001E-2</v>
      </c>
      <c r="BS12" s="1">
        <v>1.67E-2</v>
      </c>
      <c r="BT12" s="1">
        <v>1.6199999999999999E-2</v>
      </c>
      <c r="BU12" s="1">
        <v>1.6500000000000001E-2</v>
      </c>
    </row>
    <row r="13" spans="1:73" x14ac:dyDescent="0.3">
      <c r="A13" s="22" t="s">
        <v>166</v>
      </c>
      <c r="B13" s="10">
        <v>1.67E-2</v>
      </c>
      <c r="C13" s="10">
        <v>1.78E-2</v>
      </c>
      <c r="D13" s="10">
        <v>1.84E-2</v>
      </c>
      <c r="E13" s="10">
        <v>1.9099999999999999E-2</v>
      </c>
      <c r="F13" s="10">
        <v>1.8200000000000001E-2</v>
      </c>
      <c r="G13" s="10">
        <v>1.8800000000000001E-2</v>
      </c>
      <c r="H13" s="10">
        <v>1.8499999999999999E-2</v>
      </c>
      <c r="I13" s="10">
        <v>0.02</v>
      </c>
      <c r="J13" s="10">
        <v>1.9599999999999999E-2</v>
      </c>
      <c r="K13" s="10">
        <v>2.3300000000000001E-2</v>
      </c>
      <c r="L13" s="10">
        <v>2.06E-2</v>
      </c>
      <c r="M13" s="10">
        <v>2.18E-2</v>
      </c>
      <c r="N13" s="10">
        <v>2.3099999999999999E-2</v>
      </c>
      <c r="O13" s="10">
        <v>2.3599999999999999E-2</v>
      </c>
      <c r="P13" s="10">
        <v>2.4199999999999999E-2</v>
      </c>
      <c r="Q13" s="10">
        <v>2.1100000000000001E-2</v>
      </c>
      <c r="R13" s="10">
        <v>2.2800000000000001E-2</v>
      </c>
      <c r="S13" s="10">
        <v>2.3E-2</v>
      </c>
      <c r="T13" s="10">
        <v>2.4199999999999999E-2</v>
      </c>
      <c r="U13" s="10">
        <v>2.1999999999999999E-2</v>
      </c>
      <c r="V13" s="10">
        <v>2.3699999999999999E-2</v>
      </c>
      <c r="W13" s="10">
        <v>2.29E-2</v>
      </c>
      <c r="X13" s="10">
        <v>2.1899999999999999E-2</v>
      </c>
      <c r="Y13" s="10">
        <v>2.2100000000000002E-2</v>
      </c>
      <c r="Z13" s="10">
        <v>2.2800000000000001E-2</v>
      </c>
      <c r="AA13" s="10">
        <v>2.24E-2</v>
      </c>
      <c r="AB13" s="10">
        <v>2.3800000000000002E-2</v>
      </c>
      <c r="AC13" s="10">
        <v>2.18E-2</v>
      </c>
      <c r="AD13" s="10">
        <v>2.3599999999999999E-2</v>
      </c>
      <c r="AE13" s="10">
        <v>2.24E-2</v>
      </c>
      <c r="AF13" s="10">
        <v>2.0299999999999999E-2</v>
      </c>
      <c r="AG13" s="10">
        <v>2.0299999999999999E-2</v>
      </c>
      <c r="AH13" s="10">
        <v>2.2599999999999999E-2</v>
      </c>
      <c r="AI13" s="10">
        <v>2.3099999999999999E-2</v>
      </c>
      <c r="AJ13" s="10">
        <v>2.23E-2</v>
      </c>
      <c r="AK13" s="10">
        <v>2.6100000000000002E-2</v>
      </c>
      <c r="AL13" s="10">
        <v>2.35E-2</v>
      </c>
      <c r="AM13" s="10">
        <v>2.5399999999999999E-2</v>
      </c>
      <c r="AN13" s="10">
        <v>2.5899999999999999E-2</v>
      </c>
      <c r="AO13" s="2">
        <v>2.53E-2</v>
      </c>
      <c r="AP13" s="10">
        <v>2.5899999999999999E-2</v>
      </c>
      <c r="AQ13" s="10">
        <v>2.5499999999999998E-2</v>
      </c>
      <c r="AR13" s="10">
        <v>2.5000000000000001E-2</v>
      </c>
      <c r="AS13" s="10">
        <v>2.52E-2</v>
      </c>
      <c r="AT13" s="10">
        <v>2.3900000000000001E-2</v>
      </c>
      <c r="AU13" s="10">
        <v>2.29E-2</v>
      </c>
      <c r="AV13" s="10">
        <v>2.4400000000000002E-2</v>
      </c>
      <c r="AW13" s="10">
        <v>2.3800000000000002E-2</v>
      </c>
      <c r="AX13" s="10">
        <v>2.29E-2</v>
      </c>
      <c r="AY13" s="10">
        <v>2.5700000000000001E-2</v>
      </c>
      <c r="AZ13" s="10">
        <v>2.53E-2</v>
      </c>
      <c r="BA13" s="10">
        <v>2.3400000000000001E-2</v>
      </c>
      <c r="BB13" s="10">
        <v>2.3800000000000002E-2</v>
      </c>
      <c r="BC13" s="10">
        <v>2.5100000000000001E-2</v>
      </c>
      <c r="BD13" s="10">
        <v>2.6100000000000002E-2</v>
      </c>
      <c r="BE13" s="10">
        <v>2.4799999999999999E-2</v>
      </c>
      <c r="BF13" s="1">
        <v>2.5100000000000001E-2</v>
      </c>
      <c r="BG13" s="1">
        <v>2.4E-2</v>
      </c>
      <c r="BH13" s="1">
        <v>2.5600000000000001E-2</v>
      </c>
      <c r="BI13" s="1">
        <v>2.7900000000000001E-2</v>
      </c>
      <c r="BJ13" s="1">
        <v>2.52E-2</v>
      </c>
      <c r="BK13" s="1">
        <v>2.3400000000000001E-2</v>
      </c>
      <c r="BL13" s="1">
        <v>2.4799999999999999E-2</v>
      </c>
      <c r="BM13" s="1">
        <v>2.64E-2</v>
      </c>
      <c r="BN13" s="1">
        <v>2.5399999999999999E-2</v>
      </c>
      <c r="BO13" s="1">
        <v>2.46E-2</v>
      </c>
      <c r="BP13" s="1">
        <v>2.4E-2</v>
      </c>
      <c r="BQ13" s="1">
        <v>2.18E-2</v>
      </c>
      <c r="BR13" s="1">
        <v>2.18E-2</v>
      </c>
      <c r="BS13" s="1">
        <v>1.9800000000000002E-2</v>
      </c>
      <c r="BT13" s="1">
        <v>1.95E-2</v>
      </c>
      <c r="BU13" s="1">
        <v>2.29E-2</v>
      </c>
    </row>
    <row r="14" spans="1:73" x14ac:dyDescent="0.3">
      <c r="A14" s="22" t="s">
        <v>167</v>
      </c>
      <c r="B14" s="10">
        <v>1.72E-2</v>
      </c>
      <c r="C14" s="10">
        <v>1.6899999999999998E-2</v>
      </c>
      <c r="D14" s="10">
        <v>1.7600000000000001E-2</v>
      </c>
      <c r="E14" s="10">
        <v>1.6500000000000001E-2</v>
      </c>
      <c r="F14" s="10">
        <v>1.6400000000000001E-2</v>
      </c>
      <c r="G14" s="10">
        <v>1.72E-2</v>
      </c>
      <c r="H14" s="10">
        <v>1.61E-2</v>
      </c>
      <c r="I14" s="10">
        <v>1.6400000000000001E-2</v>
      </c>
      <c r="J14" s="10">
        <v>1.72E-2</v>
      </c>
      <c r="K14" s="10">
        <v>1.4999999999999999E-2</v>
      </c>
      <c r="L14" s="10">
        <v>1.6899999999999998E-2</v>
      </c>
      <c r="M14" s="10">
        <v>1.6299999999999999E-2</v>
      </c>
      <c r="N14" s="10">
        <v>1.6299999999999999E-2</v>
      </c>
      <c r="O14" s="10">
        <v>1.95E-2</v>
      </c>
      <c r="P14" s="10">
        <v>1.95E-2</v>
      </c>
      <c r="Q14" s="10">
        <v>1.8599999999999998E-2</v>
      </c>
      <c r="R14" s="10">
        <v>1.9E-2</v>
      </c>
      <c r="S14" s="10">
        <v>1.8200000000000001E-2</v>
      </c>
      <c r="T14" s="10">
        <v>1.9800000000000002E-2</v>
      </c>
      <c r="U14" s="10">
        <v>1.9099999999999999E-2</v>
      </c>
      <c r="V14" s="10">
        <v>1.8800000000000001E-2</v>
      </c>
      <c r="W14" s="10">
        <v>1.9699999999999999E-2</v>
      </c>
      <c r="X14" s="10">
        <v>1.8800000000000001E-2</v>
      </c>
      <c r="Y14" s="10">
        <v>1.8200000000000001E-2</v>
      </c>
      <c r="Z14" s="10">
        <v>1.89E-2</v>
      </c>
      <c r="AA14" s="10">
        <v>1.89E-2</v>
      </c>
      <c r="AB14" s="10">
        <v>1.9599999999999999E-2</v>
      </c>
      <c r="AC14" s="10">
        <v>1.9E-2</v>
      </c>
      <c r="AD14" s="10">
        <v>1.9800000000000002E-2</v>
      </c>
      <c r="AE14" s="10">
        <v>2.07E-2</v>
      </c>
      <c r="AF14" s="10">
        <v>1.66E-2</v>
      </c>
      <c r="AG14" s="10">
        <v>1.9900000000000001E-2</v>
      </c>
      <c r="AH14" s="10">
        <v>1.95E-2</v>
      </c>
      <c r="AI14" s="10">
        <v>1.8599999999999998E-2</v>
      </c>
      <c r="AJ14" s="10">
        <v>1.89E-2</v>
      </c>
      <c r="AK14" s="10">
        <v>1.8100000000000002E-2</v>
      </c>
      <c r="AL14" s="10">
        <v>1.8800000000000001E-2</v>
      </c>
      <c r="AM14" s="10">
        <v>1.8800000000000001E-2</v>
      </c>
      <c r="AN14" s="10">
        <v>1.8200000000000001E-2</v>
      </c>
      <c r="AO14" s="2">
        <v>1.7100000000000001E-2</v>
      </c>
      <c r="AP14" s="10">
        <v>1.8700000000000001E-2</v>
      </c>
      <c r="AQ14" s="10">
        <v>1.89E-2</v>
      </c>
      <c r="AR14" s="10">
        <v>1.84E-2</v>
      </c>
      <c r="AS14" s="10">
        <v>1.83E-2</v>
      </c>
      <c r="AT14" s="10">
        <v>1.8700000000000001E-2</v>
      </c>
      <c r="AU14" s="10">
        <v>1.89E-2</v>
      </c>
      <c r="AV14" s="10">
        <v>1.89E-2</v>
      </c>
      <c r="AW14" s="10">
        <v>1.8499999999999999E-2</v>
      </c>
      <c r="AX14" s="10">
        <v>1.8499999999999999E-2</v>
      </c>
      <c r="AY14" s="10">
        <v>1.8599999999999998E-2</v>
      </c>
      <c r="AZ14" s="10">
        <v>1.84E-2</v>
      </c>
      <c r="BA14" s="10">
        <v>1.89E-2</v>
      </c>
      <c r="BB14" s="10">
        <v>1.5900000000000001E-2</v>
      </c>
      <c r="BC14" s="10">
        <v>1.5299999999999999E-2</v>
      </c>
      <c r="BD14" s="10">
        <v>1.5699999999999999E-2</v>
      </c>
      <c r="BE14" s="10">
        <v>1.5100000000000001E-2</v>
      </c>
      <c r="BF14" s="1">
        <v>1.55E-2</v>
      </c>
      <c r="BG14" s="1">
        <v>1.5299999999999999E-2</v>
      </c>
      <c r="BH14" s="1">
        <v>1.5599999999999999E-2</v>
      </c>
      <c r="BI14" s="1">
        <v>1.6199999999999999E-2</v>
      </c>
      <c r="BJ14" s="1">
        <v>1.6500000000000001E-2</v>
      </c>
      <c r="BK14" s="1">
        <v>1.5699999999999999E-2</v>
      </c>
      <c r="BL14" s="1">
        <v>1.9300000000000001E-2</v>
      </c>
      <c r="BM14" s="1">
        <v>1.7899999999999999E-2</v>
      </c>
      <c r="BN14" s="1">
        <v>1.49E-2</v>
      </c>
      <c r="BO14" s="1">
        <v>1.5299999999999999E-2</v>
      </c>
      <c r="BP14" s="1">
        <v>1.5299999999999999E-2</v>
      </c>
      <c r="BQ14" s="1">
        <v>1.5800000000000002E-2</v>
      </c>
      <c r="BR14" s="1">
        <v>1.5800000000000002E-2</v>
      </c>
      <c r="BS14" s="1">
        <v>1.61E-2</v>
      </c>
      <c r="BT14" s="1">
        <v>1.5800000000000002E-2</v>
      </c>
      <c r="BU14" s="1">
        <v>1.5699999999999999E-2</v>
      </c>
    </row>
    <row r="15" spans="1:73" x14ac:dyDescent="0.3">
      <c r="A15" s="22" t="s">
        <v>189</v>
      </c>
      <c r="B15" s="10">
        <v>0</v>
      </c>
      <c r="C15" s="10">
        <v>0</v>
      </c>
      <c r="D15" s="10">
        <v>0</v>
      </c>
      <c r="E15" s="10">
        <v>0</v>
      </c>
      <c r="F15" s="10">
        <v>1.6899999999999998E-2</v>
      </c>
      <c r="G15" s="10">
        <v>1.7600000000000001E-2</v>
      </c>
      <c r="H15" s="10">
        <v>1.7399999999999999E-2</v>
      </c>
      <c r="I15" s="10">
        <v>1.1900000000000001E-2</v>
      </c>
      <c r="J15" s="10">
        <v>1.17E-2</v>
      </c>
      <c r="K15" s="10">
        <v>0</v>
      </c>
      <c r="L15" s="10">
        <v>1.18E-2</v>
      </c>
      <c r="M15" s="10">
        <v>1.23E-2</v>
      </c>
      <c r="N15" s="10">
        <v>1.14E-2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1.3299999999999999E-2</v>
      </c>
      <c r="AM15" s="10">
        <v>0</v>
      </c>
      <c r="AN15" s="10">
        <v>0</v>
      </c>
      <c r="AO15" s="2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1.1599999999999999E-2</v>
      </c>
      <c r="BC15" s="10">
        <v>1.15E-2</v>
      </c>
      <c r="BD15" s="10">
        <v>1.11E-2</v>
      </c>
      <c r="BE15" s="10">
        <v>1.1599999999999999E-2</v>
      </c>
      <c r="BF15" s="1">
        <v>1.15E-2</v>
      </c>
      <c r="BG15" s="1">
        <v>1.2E-2</v>
      </c>
      <c r="BH15" s="1">
        <v>1.2E-2</v>
      </c>
      <c r="BI15" s="1">
        <v>1.15E-2</v>
      </c>
      <c r="BJ15" s="1">
        <v>1.14E-2</v>
      </c>
      <c r="BK15" s="1">
        <v>1.1900000000000001E-2</v>
      </c>
      <c r="BL15" s="1">
        <v>0</v>
      </c>
      <c r="BM15" s="1">
        <v>0</v>
      </c>
      <c r="BN15" s="1">
        <v>1.17E-2</v>
      </c>
      <c r="BO15" s="1">
        <v>1.14E-2</v>
      </c>
      <c r="BP15" s="1">
        <v>1.24E-2</v>
      </c>
      <c r="BQ15" s="1">
        <v>1.18E-2</v>
      </c>
      <c r="BR15" s="1">
        <v>1.24E-2</v>
      </c>
      <c r="BS15" s="1">
        <v>1.1900000000000001E-2</v>
      </c>
      <c r="BT15" s="1">
        <v>1.2200000000000001E-2</v>
      </c>
      <c r="BU15" s="1">
        <v>1.1900000000000001E-2</v>
      </c>
    </row>
    <row r="16" spans="1:73" x14ac:dyDescent="0.3">
      <c r="A16" s="22" t="s">
        <v>190</v>
      </c>
      <c r="B16" s="10">
        <v>4.4699999999999997E-2</v>
      </c>
      <c r="C16" s="10">
        <v>4.48E-2</v>
      </c>
      <c r="D16" s="10">
        <v>4.4900000000000002E-2</v>
      </c>
      <c r="E16" s="10">
        <v>4.53E-2</v>
      </c>
      <c r="F16" s="10">
        <v>4.3200000000000002E-2</v>
      </c>
      <c r="G16" s="10">
        <v>4.5199999999999997E-2</v>
      </c>
      <c r="H16" s="10">
        <v>4.41E-2</v>
      </c>
      <c r="I16" s="10">
        <v>4.2900000000000001E-2</v>
      </c>
      <c r="J16" s="10">
        <v>4.2799999999999998E-2</v>
      </c>
      <c r="K16" s="10">
        <v>0</v>
      </c>
      <c r="L16" s="10">
        <v>4.24E-2</v>
      </c>
      <c r="M16" s="10">
        <v>8.9999999999999993E-3</v>
      </c>
      <c r="N16" s="10">
        <v>4.2299999999999997E-2</v>
      </c>
      <c r="O16" s="10">
        <v>4.7300000000000002E-2</v>
      </c>
      <c r="P16" s="10">
        <v>4.58E-2</v>
      </c>
      <c r="Q16" s="10">
        <v>4.8599999999999997E-2</v>
      </c>
      <c r="R16" s="10">
        <v>4.7300000000000002E-2</v>
      </c>
      <c r="S16" s="10">
        <v>4.7699999999999999E-2</v>
      </c>
      <c r="T16" s="10">
        <v>4.8000000000000001E-2</v>
      </c>
      <c r="U16" s="10">
        <v>4.7500000000000001E-2</v>
      </c>
      <c r="V16" s="10">
        <v>4.7500000000000001E-2</v>
      </c>
      <c r="W16" s="10">
        <v>4.5900000000000003E-2</v>
      </c>
      <c r="X16" s="10">
        <v>4.5199999999999997E-2</v>
      </c>
      <c r="Y16" s="10">
        <v>4.7399999999999998E-2</v>
      </c>
      <c r="Z16" s="10">
        <v>4.65E-2</v>
      </c>
      <c r="AA16" s="10">
        <v>4.7899999999999998E-2</v>
      </c>
      <c r="AB16" s="10">
        <v>4.6699999999999998E-2</v>
      </c>
      <c r="AC16" s="10">
        <v>4.8899999999999999E-2</v>
      </c>
      <c r="AD16" s="10">
        <v>4.6899999999999997E-2</v>
      </c>
      <c r="AE16" s="10">
        <v>4.8800000000000003E-2</v>
      </c>
      <c r="AF16" s="10">
        <v>4.2000000000000003E-2</v>
      </c>
      <c r="AG16" s="10">
        <v>4.6399999999999997E-2</v>
      </c>
      <c r="AH16" s="10">
        <v>4.6899999999999997E-2</v>
      </c>
      <c r="AI16" s="10">
        <v>4.8899999999999999E-2</v>
      </c>
      <c r="AJ16" s="10">
        <v>4.82E-2</v>
      </c>
      <c r="AK16" s="10">
        <v>4.7800000000000002E-2</v>
      </c>
      <c r="AL16" s="10">
        <v>4.6399999999999997E-2</v>
      </c>
      <c r="AM16" s="10">
        <v>4.65E-2</v>
      </c>
      <c r="AN16" s="10">
        <v>4.8099999999999997E-2</v>
      </c>
      <c r="AO16" s="2">
        <v>4.6600000000000003E-2</v>
      </c>
      <c r="AP16" s="10">
        <v>4.8099999999999997E-2</v>
      </c>
      <c r="AQ16" s="10">
        <v>4.8899999999999999E-2</v>
      </c>
      <c r="AR16" s="10">
        <v>4.8300000000000003E-2</v>
      </c>
      <c r="AS16" s="10">
        <v>4.8599999999999997E-2</v>
      </c>
      <c r="AT16" s="10">
        <v>4.82E-2</v>
      </c>
      <c r="AU16" s="10">
        <v>0.05</v>
      </c>
      <c r="AV16" s="10">
        <v>4.8800000000000003E-2</v>
      </c>
      <c r="AW16" s="10">
        <v>4.53E-2</v>
      </c>
      <c r="AX16" s="10">
        <v>4.5999999999999999E-2</v>
      </c>
      <c r="AY16" s="10">
        <v>4.6399999999999997E-2</v>
      </c>
      <c r="AZ16" s="10">
        <v>4.7E-2</v>
      </c>
      <c r="BA16" s="10">
        <v>4.8500000000000001E-2</v>
      </c>
      <c r="BB16" s="10">
        <v>4.4600000000000001E-2</v>
      </c>
      <c r="BC16" s="10">
        <v>4.5600000000000002E-2</v>
      </c>
      <c r="BD16" s="10">
        <v>4.5499999999999999E-2</v>
      </c>
      <c r="BE16" s="10">
        <v>4.4600000000000001E-2</v>
      </c>
      <c r="BF16" s="1">
        <v>4.36E-2</v>
      </c>
      <c r="BG16" s="1">
        <v>4.5699999999999998E-2</v>
      </c>
      <c r="BH16" s="1">
        <v>4.4499999999999998E-2</v>
      </c>
      <c r="BI16" s="1">
        <v>4.4900000000000002E-2</v>
      </c>
      <c r="BJ16" s="1">
        <v>4.6100000000000002E-2</v>
      </c>
      <c r="BK16" s="1">
        <v>4.3499999999999997E-2</v>
      </c>
      <c r="BL16" s="1">
        <v>4.7899999999999998E-2</v>
      </c>
      <c r="BM16" s="1">
        <v>4.5600000000000002E-2</v>
      </c>
      <c r="BN16" s="1">
        <v>4.2700000000000002E-2</v>
      </c>
      <c r="BO16" s="1">
        <v>4.65E-2</v>
      </c>
      <c r="BP16" s="1">
        <v>4.5100000000000001E-2</v>
      </c>
      <c r="BQ16" s="1">
        <v>4.1000000000000002E-2</v>
      </c>
      <c r="BR16" s="1">
        <v>4.1099999999999998E-2</v>
      </c>
      <c r="BS16" s="1">
        <v>4.1399999999999999E-2</v>
      </c>
      <c r="BT16" s="1">
        <v>4.1599999999999998E-2</v>
      </c>
      <c r="BU16" s="1">
        <v>4.4299999999999999E-2</v>
      </c>
    </row>
    <row r="17" spans="1:73" x14ac:dyDescent="0.3">
      <c r="A17" s="22" t="s">
        <v>169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4.4400000000000002E-2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2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7.4800000000000005E-2</v>
      </c>
      <c r="BC17" s="10">
        <v>6.8199999999999997E-2</v>
      </c>
      <c r="BD17" s="10">
        <v>7.8299999999999995E-2</v>
      </c>
      <c r="BE17" s="10">
        <v>8.3000000000000004E-2</v>
      </c>
      <c r="BF17" s="1">
        <v>7.9000000000000001E-2</v>
      </c>
      <c r="BG17" s="1">
        <v>6.9099999999999995E-2</v>
      </c>
      <c r="BH17" s="1">
        <v>7.0400000000000004E-2</v>
      </c>
      <c r="BI17" s="1">
        <v>7.0300000000000001E-2</v>
      </c>
      <c r="BJ17" s="1">
        <v>7.0199999999999999E-2</v>
      </c>
      <c r="BK17" s="1">
        <v>7.3400000000000007E-2</v>
      </c>
      <c r="BL17" s="1">
        <v>0</v>
      </c>
      <c r="BM17" s="1">
        <v>0</v>
      </c>
      <c r="BN17" s="1">
        <v>6.5500000000000003E-2</v>
      </c>
      <c r="BO17" s="1">
        <v>7.0699999999999999E-2</v>
      </c>
      <c r="BP17" s="1">
        <v>6.7900000000000002E-2</v>
      </c>
      <c r="BQ17" s="1">
        <v>0</v>
      </c>
      <c r="BR17" s="1">
        <v>8.2600000000000007E-2</v>
      </c>
      <c r="BS17" s="1">
        <v>0</v>
      </c>
      <c r="BT17" s="1">
        <v>8.3799999999999999E-2</v>
      </c>
      <c r="BU17" s="1">
        <v>0</v>
      </c>
    </row>
    <row r="18" spans="1:73" x14ac:dyDescent="0.3">
      <c r="A18" s="22" t="s">
        <v>170</v>
      </c>
      <c r="B18" s="10">
        <v>6.0600000000000001E-2</v>
      </c>
      <c r="C18" s="10">
        <v>5.6000000000000001E-2</v>
      </c>
      <c r="D18" s="10">
        <v>5.9499999999999997E-2</v>
      </c>
      <c r="E18" s="10">
        <v>5.8400000000000001E-2</v>
      </c>
      <c r="F18" s="10">
        <v>0</v>
      </c>
      <c r="G18" s="10">
        <v>5.8700000000000002E-2</v>
      </c>
      <c r="H18" s="10">
        <v>5.6500000000000002E-2</v>
      </c>
      <c r="I18" s="10">
        <v>5.91E-2</v>
      </c>
      <c r="J18" s="10">
        <v>5.8299999999999998E-2</v>
      </c>
      <c r="K18" s="10">
        <v>4.8399999999999999E-2</v>
      </c>
      <c r="L18" s="10">
        <v>0.06</v>
      </c>
      <c r="M18" s="10">
        <v>5.8599999999999999E-2</v>
      </c>
      <c r="N18" s="10">
        <v>5.7700000000000001E-2</v>
      </c>
      <c r="O18" s="10">
        <v>6.1899999999999997E-2</v>
      </c>
      <c r="P18" s="10">
        <v>6.2600000000000003E-2</v>
      </c>
      <c r="Q18" s="10">
        <v>0</v>
      </c>
      <c r="R18" s="10">
        <v>6.6199999999999995E-2</v>
      </c>
      <c r="S18" s="10">
        <v>6.59E-2</v>
      </c>
      <c r="T18" s="10">
        <v>0</v>
      </c>
      <c r="U18" s="10">
        <v>0</v>
      </c>
      <c r="V18" s="10">
        <v>0</v>
      </c>
      <c r="W18" s="10">
        <v>6.4600000000000005E-2</v>
      </c>
      <c r="X18" s="10">
        <v>6.3500000000000001E-2</v>
      </c>
      <c r="Y18" s="10">
        <v>0</v>
      </c>
      <c r="Z18" s="10">
        <v>6.2899999999999998E-2</v>
      </c>
      <c r="AA18" s="10">
        <v>0</v>
      </c>
      <c r="AB18" s="10">
        <v>0</v>
      </c>
      <c r="AC18" s="10">
        <v>6.0900000000000003E-2</v>
      </c>
      <c r="AD18" s="10">
        <v>6.5600000000000006E-2</v>
      </c>
      <c r="AE18" s="10">
        <v>6.4100000000000004E-2</v>
      </c>
      <c r="AF18" s="10">
        <v>0.11600000000000001</v>
      </c>
      <c r="AG18" s="10">
        <v>6.6500000000000004E-2</v>
      </c>
      <c r="AH18" s="10">
        <v>6.4500000000000002E-2</v>
      </c>
      <c r="AI18" s="10">
        <v>6.1699999999999998E-2</v>
      </c>
      <c r="AJ18" s="10">
        <v>0</v>
      </c>
      <c r="AK18" s="10">
        <v>6.7799999999999999E-2</v>
      </c>
      <c r="AL18" s="10">
        <v>0</v>
      </c>
      <c r="AM18" s="10">
        <v>0</v>
      </c>
      <c r="AN18" s="10">
        <v>6.3E-2</v>
      </c>
      <c r="AO18" s="2">
        <v>6.1899999999999997E-2</v>
      </c>
      <c r="AP18" s="10">
        <v>0</v>
      </c>
      <c r="AQ18" s="10">
        <v>6.3600000000000004E-2</v>
      </c>
      <c r="AR18" s="10">
        <v>0</v>
      </c>
      <c r="AS18" s="10">
        <v>0</v>
      </c>
      <c r="AT18" s="10" t="s">
        <v>160</v>
      </c>
      <c r="AU18" s="10">
        <v>0</v>
      </c>
      <c r="AV18" s="10" t="s">
        <v>160</v>
      </c>
      <c r="AW18" s="10">
        <v>0</v>
      </c>
      <c r="AX18" s="10">
        <v>0</v>
      </c>
      <c r="AY18" s="10">
        <v>6.5199999999999994E-2</v>
      </c>
      <c r="AZ18" s="10">
        <v>6.6699999999999995E-2</v>
      </c>
      <c r="BA18" s="10">
        <v>0</v>
      </c>
      <c r="BB18" s="10">
        <v>5.62E-2</v>
      </c>
      <c r="BC18" s="10">
        <v>5.6800000000000003E-2</v>
      </c>
      <c r="BD18" s="10">
        <v>6.7199999999999996E-2</v>
      </c>
      <c r="BE18" s="10">
        <v>6.4000000000000001E-2</v>
      </c>
      <c r="BF18" s="1">
        <v>6.0999999999999999E-2</v>
      </c>
      <c r="BG18" s="1">
        <v>6.4299999999999996E-2</v>
      </c>
      <c r="BH18" s="1">
        <v>6.4899999999999999E-2</v>
      </c>
      <c r="BI18" s="1">
        <v>5.1999999999999998E-2</v>
      </c>
      <c r="BJ18" s="1">
        <v>6.88E-2</v>
      </c>
      <c r="BK18" s="1">
        <v>6.3600000000000004E-2</v>
      </c>
      <c r="BL18" s="1">
        <v>6.5000000000000002E-2</v>
      </c>
      <c r="BM18" s="1">
        <v>0</v>
      </c>
      <c r="BN18" s="1">
        <v>6.6100000000000006E-2</v>
      </c>
      <c r="BO18" s="1">
        <v>5.9700000000000003E-2</v>
      </c>
      <c r="BP18" s="1">
        <v>6.1499999999999999E-2</v>
      </c>
      <c r="BQ18" s="1">
        <v>6.3700000000000007E-2</v>
      </c>
      <c r="BR18" s="1">
        <v>6.3100000000000003E-2</v>
      </c>
      <c r="BS18" s="1">
        <v>6.4500000000000002E-2</v>
      </c>
      <c r="BT18" s="1">
        <v>6.1899999999999997E-2</v>
      </c>
      <c r="BU18" s="1">
        <v>5.8299999999999998E-2</v>
      </c>
    </row>
    <row r="19" spans="1:73" x14ac:dyDescent="0.3">
      <c r="A19" s="22" t="s">
        <v>172</v>
      </c>
      <c r="B19" s="10">
        <v>0.24129999999999999</v>
      </c>
      <c r="C19" s="10">
        <v>0</v>
      </c>
      <c r="D19" s="10">
        <v>0.2056</v>
      </c>
      <c r="E19" s="10">
        <v>0.25159999999999999</v>
      </c>
      <c r="F19" s="10">
        <v>0.26140000000000002</v>
      </c>
      <c r="G19" s="10" t="s">
        <v>160</v>
      </c>
      <c r="H19" s="10">
        <v>0.25030000000000002</v>
      </c>
      <c r="I19" s="10">
        <v>0.24560000000000001</v>
      </c>
      <c r="J19" s="10">
        <v>0.27179999999999999</v>
      </c>
      <c r="K19" s="10">
        <v>0.18509999999999999</v>
      </c>
      <c r="L19" s="10">
        <v>0.27510000000000001</v>
      </c>
      <c r="M19" s="10">
        <v>0.26079999999999998</v>
      </c>
      <c r="N19" s="10">
        <v>0.2263</v>
      </c>
      <c r="O19" s="10">
        <v>0.25700000000000001</v>
      </c>
      <c r="P19" s="10">
        <v>0.26600000000000001</v>
      </c>
      <c r="Q19" s="10">
        <v>0.28249999999999997</v>
      </c>
      <c r="R19" s="10">
        <v>0.29270000000000002</v>
      </c>
      <c r="S19" s="10">
        <v>0.28370000000000001</v>
      </c>
      <c r="T19" s="10">
        <v>0.28120000000000001</v>
      </c>
      <c r="U19" s="10">
        <v>0.30790000000000001</v>
      </c>
      <c r="V19" s="10">
        <v>0.29699999999999999</v>
      </c>
      <c r="W19" s="10">
        <v>0.27829999999999999</v>
      </c>
      <c r="X19" s="10">
        <v>0.23350000000000001</v>
      </c>
      <c r="Y19" s="10">
        <v>0.27410000000000001</v>
      </c>
      <c r="Z19" s="10">
        <v>0.2702</v>
      </c>
      <c r="AA19" s="10">
        <v>0.26979999999999998</v>
      </c>
      <c r="AB19" s="10">
        <v>0.28939999999999999</v>
      </c>
      <c r="AC19" s="10">
        <v>0.2671</v>
      </c>
      <c r="AD19" s="10">
        <v>0.27050000000000002</v>
      </c>
      <c r="AE19" s="10">
        <v>0.22339999999999999</v>
      </c>
      <c r="AF19" s="10">
        <v>0.2752</v>
      </c>
      <c r="AG19" s="10">
        <v>0.30020000000000002</v>
      </c>
      <c r="AH19" s="10">
        <v>0.27660000000000001</v>
      </c>
      <c r="AI19" s="10">
        <v>0.2722</v>
      </c>
      <c r="AJ19" s="10">
        <v>0.27739999999999998</v>
      </c>
      <c r="AK19" s="10">
        <v>0.2908</v>
      </c>
      <c r="AL19" s="10">
        <v>0.26829999999999998</v>
      </c>
      <c r="AM19" s="10">
        <v>0.26419999999999999</v>
      </c>
      <c r="AN19" s="10">
        <v>0.2732</v>
      </c>
      <c r="AO19" s="2">
        <v>0.26979999999999998</v>
      </c>
      <c r="AP19" s="10">
        <v>0.28989999999999999</v>
      </c>
      <c r="AQ19" s="10">
        <v>0.29330000000000001</v>
      </c>
      <c r="AR19" s="10">
        <v>0.29770000000000002</v>
      </c>
      <c r="AS19" s="10">
        <v>0.31040000000000001</v>
      </c>
      <c r="AT19" s="10">
        <v>0.26519999999999999</v>
      </c>
      <c r="AU19" s="10">
        <v>0.2949</v>
      </c>
      <c r="AV19" s="10">
        <v>0.2883</v>
      </c>
      <c r="AW19" s="10">
        <v>0.29120000000000001</v>
      </c>
      <c r="AX19" s="10">
        <v>0.29499999999999998</v>
      </c>
      <c r="AY19" s="10">
        <v>0.28070000000000001</v>
      </c>
      <c r="AZ19" s="10">
        <v>0.2651</v>
      </c>
      <c r="BA19" s="10">
        <v>0.29520000000000002</v>
      </c>
      <c r="BB19" s="10">
        <v>0.26619999999999999</v>
      </c>
      <c r="BC19" s="10">
        <v>0.25559999999999999</v>
      </c>
      <c r="BD19" s="10">
        <v>0.26050000000000001</v>
      </c>
      <c r="BE19" s="10">
        <v>0.21809999999999999</v>
      </c>
      <c r="BF19" s="1">
        <v>0.2492</v>
      </c>
      <c r="BG19" s="1">
        <v>0.25009999999999999</v>
      </c>
      <c r="BH19" s="1">
        <v>0.23799999999999999</v>
      </c>
      <c r="BI19" s="1">
        <v>0.21840000000000001</v>
      </c>
      <c r="BJ19" s="1">
        <v>0.2039</v>
      </c>
      <c r="BK19" s="1">
        <v>0.21079999999999999</v>
      </c>
      <c r="BL19" s="1">
        <v>0.30099999999999999</v>
      </c>
      <c r="BM19" s="1">
        <v>0.28270000000000001</v>
      </c>
      <c r="BN19" s="1">
        <v>0.21890000000000001</v>
      </c>
      <c r="BO19" s="1">
        <v>0.2185</v>
      </c>
      <c r="BP19" s="1">
        <v>0.26600000000000001</v>
      </c>
      <c r="BQ19" s="1">
        <v>0.2485</v>
      </c>
      <c r="BR19" s="1">
        <v>0.21940000000000001</v>
      </c>
      <c r="BS19" s="1">
        <v>0.23180000000000001</v>
      </c>
      <c r="BT19" s="1">
        <v>0.224</v>
      </c>
      <c r="BU19" s="1">
        <v>0.24199999999999999</v>
      </c>
    </row>
    <row r="20" spans="1:73" x14ac:dyDescent="0.3">
      <c r="A20" s="22" t="s">
        <v>173</v>
      </c>
      <c r="B20" s="10">
        <v>0.46500000000000002</v>
      </c>
      <c r="C20" s="10">
        <v>0.45440000000000003</v>
      </c>
      <c r="D20" s="10">
        <v>0.49530000000000002</v>
      </c>
      <c r="E20" s="10">
        <v>0.4924</v>
      </c>
      <c r="F20" s="10">
        <v>0.42780000000000001</v>
      </c>
      <c r="G20" s="10">
        <v>0.39779999999999999</v>
      </c>
      <c r="H20" s="10">
        <v>0.40339999999999998</v>
      </c>
      <c r="I20" s="10">
        <v>0.47289999999999999</v>
      </c>
      <c r="J20" s="10">
        <v>0.43890000000000001</v>
      </c>
      <c r="K20" s="10">
        <v>0</v>
      </c>
      <c r="L20" s="10">
        <v>0.41320000000000001</v>
      </c>
      <c r="M20" s="10">
        <v>0.43190000000000001</v>
      </c>
      <c r="N20" s="10">
        <v>0.46410000000000001</v>
      </c>
      <c r="O20" s="10">
        <v>0.56369999999999998</v>
      </c>
      <c r="P20" s="10">
        <v>0.49559999999999998</v>
      </c>
      <c r="Q20" s="10">
        <v>0.49409999999999998</v>
      </c>
      <c r="R20" s="10">
        <v>0.55659999999999998</v>
      </c>
      <c r="S20" s="10">
        <v>0.51829999999999998</v>
      </c>
      <c r="T20" s="10">
        <v>0.54549999999999998</v>
      </c>
      <c r="U20" s="10">
        <v>0.52610000000000001</v>
      </c>
      <c r="V20" s="10">
        <v>0.51849999999999996</v>
      </c>
      <c r="W20" s="10">
        <v>0.46710000000000002</v>
      </c>
      <c r="X20" s="10">
        <v>0.53120000000000001</v>
      </c>
      <c r="Y20" s="10">
        <v>0.49940000000000001</v>
      </c>
      <c r="Z20" s="10">
        <v>0.57240000000000002</v>
      </c>
      <c r="AA20" s="10">
        <v>0.53649999999999998</v>
      </c>
      <c r="AB20" s="10">
        <v>0.4788</v>
      </c>
      <c r="AC20" s="10">
        <v>0.4904</v>
      </c>
      <c r="AD20" s="10">
        <v>0.55279999999999996</v>
      </c>
      <c r="AE20" s="10">
        <v>0.48849999999999999</v>
      </c>
      <c r="AF20" s="10">
        <v>0.43980000000000002</v>
      </c>
      <c r="AG20" s="10">
        <v>0.51380000000000003</v>
      </c>
      <c r="AH20" s="10">
        <v>0.48909999999999998</v>
      </c>
      <c r="AI20" s="10">
        <v>0.44440000000000002</v>
      </c>
      <c r="AJ20" s="10">
        <v>0.52470000000000006</v>
      </c>
      <c r="AK20" s="10">
        <v>0.55069999999999997</v>
      </c>
      <c r="AL20" s="10">
        <v>0.4788</v>
      </c>
      <c r="AM20" s="10">
        <v>0.54859999999999998</v>
      </c>
      <c r="AN20" s="10">
        <v>0.56140000000000001</v>
      </c>
      <c r="AO20" s="2">
        <v>0.5524</v>
      </c>
      <c r="AP20" s="10">
        <v>0.58360000000000001</v>
      </c>
      <c r="AQ20" s="10">
        <v>0.53890000000000005</v>
      </c>
      <c r="AR20" s="10">
        <v>0.56689999999999996</v>
      </c>
      <c r="AS20" s="10">
        <v>0.55610000000000004</v>
      </c>
      <c r="AT20" s="10">
        <v>0.5474</v>
      </c>
      <c r="AU20" s="10">
        <v>0.50729999999999997</v>
      </c>
      <c r="AV20" s="10">
        <v>0.57840000000000003</v>
      </c>
      <c r="AW20" s="10">
        <v>0.52110000000000001</v>
      </c>
      <c r="AX20" s="10">
        <v>0.53879999999999995</v>
      </c>
      <c r="AY20" s="10">
        <v>0.57430000000000003</v>
      </c>
      <c r="AZ20" s="10">
        <v>0.54710000000000003</v>
      </c>
      <c r="BA20" s="10">
        <v>0.59630000000000005</v>
      </c>
      <c r="BB20" s="10">
        <v>0.38790000000000002</v>
      </c>
      <c r="BC20" s="10">
        <v>0.40810000000000002</v>
      </c>
      <c r="BD20" s="10">
        <v>0.3805</v>
      </c>
      <c r="BE20" s="10">
        <v>0.42620000000000002</v>
      </c>
      <c r="BF20" s="1">
        <v>0.40050000000000002</v>
      </c>
      <c r="BG20" s="1">
        <v>0.40849999999999997</v>
      </c>
      <c r="BH20" s="1">
        <v>0.38140000000000002</v>
      </c>
      <c r="BI20" s="1">
        <v>0.37440000000000001</v>
      </c>
      <c r="BJ20" s="1">
        <v>0.3952</v>
      </c>
      <c r="BK20" s="1">
        <v>0.36609999999999998</v>
      </c>
      <c r="BL20" s="1">
        <v>0.5413</v>
      </c>
      <c r="BM20" s="1">
        <v>0.50209999999999999</v>
      </c>
      <c r="BN20" s="1">
        <v>0.40250000000000002</v>
      </c>
      <c r="BO20" s="1">
        <v>0.40810000000000002</v>
      </c>
      <c r="BP20" s="1">
        <v>0.34350000000000003</v>
      </c>
      <c r="BQ20" s="1">
        <v>0.40489999999999998</v>
      </c>
      <c r="BR20" s="1">
        <v>0.46229999999999999</v>
      </c>
      <c r="BS20" s="1">
        <v>0.41199999999999998</v>
      </c>
      <c r="BT20" s="1">
        <v>0.42670000000000002</v>
      </c>
      <c r="BU20" s="1">
        <v>0.3916</v>
      </c>
    </row>
    <row r="21" spans="1:73" x14ac:dyDescent="0.3">
      <c r="A21" s="22" t="s">
        <v>174</v>
      </c>
      <c r="B21" s="10">
        <v>0.1653</v>
      </c>
      <c r="C21" s="10">
        <v>0.16270000000000001</v>
      </c>
      <c r="D21" s="10">
        <v>0.16339999999999999</v>
      </c>
      <c r="E21" s="10">
        <v>0</v>
      </c>
      <c r="F21" s="10">
        <v>0.15</v>
      </c>
      <c r="G21" s="10">
        <v>0</v>
      </c>
      <c r="H21" s="10">
        <v>0</v>
      </c>
      <c r="I21" s="10">
        <v>0.1454</v>
      </c>
      <c r="J21" s="10">
        <v>0.1426</v>
      </c>
      <c r="K21" s="10">
        <v>0</v>
      </c>
      <c r="L21" s="10">
        <v>0.1512</v>
      </c>
      <c r="M21" s="10">
        <v>0.14499999999999999</v>
      </c>
      <c r="N21" s="10">
        <v>0.1598</v>
      </c>
      <c r="O21" s="10">
        <v>0.16389999999999999</v>
      </c>
      <c r="P21" s="10">
        <v>0.17169999999999999</v>
      </c>
      <c r="Q21" s="10">
        <v>0.1578</v>
      </c>
      <c r="R21" s="10">
        <v>0.16900000000000001</v>
      </c>
      <c r="S21" s="10">
        <v>0.17269999999999999</v>
      </c>
      <c r="T21" s="10">
        <v>0.16669999999999999</v>
      </c>
      <c r="U21" s="10">
        <v>0.1656</v>
      </c>
      <c r="V21" s="10">
        <v>0.1711</v>
      </c>
      <c r="W21" s="10">
        <v>0.17180000000000001</v>
      </c>
      <c r="X21" s="10">
        <v>0.16869999999999999</v>
      </c>
      <c r="Y21" s="10">
        <v>0.16220000000000001</v>
      </c>
      <c r="Z21" s="10">
        <v>0.1643</v>
      </c>
      <c r="AA21" s="10">
        <v>0.17019999999999999</v>
      </c>
      <c r="AB21" s="10">
        <v>0.17449999999999999</v>
      </c>
      <c r="AC21" s="10">
        <v>0.1704</v>
      </c>
      <c r="AD21" s="10">
        <v>0.16889999999999999</v>
      </c>
      <c r="AE21" s="10">
        <v>0.1583</v>
      </c>
      <c r="AF21" s="10">
        <v>0.15540000000000001</v>
      </c>
      <c r="AG21" s="10">
        <v>0.1726</v>
      </c>
      <c r="AH21" s="10">
        <v>0.16270000000000001</v>
      </c>
      <c r="AI21" s="10">
        <v>0.17280000000000001</v>
      </c>
      <c r="AJ21" s="10">
        <v>0.16789999999999999</v>
      </c>
      <c r="AK21" s="10">
        <v>0.16839999999999999</v>
      </c>
      <c r="AL21" s="10">
        <v>0.16289999999999999</v>
      </c>
      <c r="AM21" s="10">
        <v>0.1704</v>
      </c>
      <c r="AN21" s="10">
        <v>0.16930000000000001</v>
      </c>
      <c r="AO21" s="2">
        <v>0.17349999999999999</v>
      </c>
      <c r="AP21" s="10">
        <v>0.17199999999999999</v>
      </c>
      <c r="AQ21" s="10">
        <v>0.16439999999999999</v>
      </c>
      <c r="AR21" s="10">
        <v>0.17979999999999999</v>
      </c>
      <c r="AS21" s="10">
        <v>0.18060000000000001</v>
      </c>
      <c r="AT21" s="10">
        <v>0.17199999999999999</v>
      </c>
      <c r="AU21" s="10">
        <v>0.16950000000000001</v>
      </c>
      <c r="AV21" s="10">
        <v>0.1741</v>
      </c>
      <c r="AW21" s="10">
        <v>0.18060000000000001</v>
      </c>
      <c r="AX21" s="10">
        <v>0.1762</v>
      </c>
      <c r="AY21" s="10">
        <v>0.1638</v>
      </c>
      <c r="AZ21" s="10">
        <v>0.1658</v>
      </c>
      <c r="BA21" s="10">
        <v>0.1714</v>
      </c>
      <c r="BB21" s="10">
        <v>0.13200000000000001</v>
      </c>
      <c r="BC21" s="10">
        <v>0.1391</v>
      </c>
      <c r="BD21" s="10">
        <v>0</v>
      </c>
      <c r="BE21" s="10">
        <v>0.1419</v>
      </c>
      <c r="BF21" s="1" t="s">
        <v>160</v>
      </c>
      <c r="BG21" s="1">
        <v>0.1336</v>
      </c>
      <c r="BH21" s="1">
        <v>0</v>
      </c>
      <c r="BI21" s="1">
        <v>0.12520000000000001</v>
      </c>
      <c r="BJ21" s="1">
        <v>0.1326</v>
      </c>
      <c r="BK21" s="1">
        <v>0.13370000000000001</v>
      </c>
      <c r="BL21" s="1">
        <v>0.1787</v>
      </c>
      <c r="BM21" s="1">
        <v>0.16800000000000001</v>
      </c>
      <c r="BN21" s="1">
        <v>0.13600000000000001</v>
      </c>
      <c r="BO21" s="1">
        <v>0.13120000000000001</v>
      </c>
      <c r="BP21" s="1">
        <v>0.13550000000000001</v>
      </c>
      <c r="BQ21" s="1">
        <v>0.14630000000000001</v>
      </c>
      <c r="BR21" s="1">
        <v>0.14849999999999999</v>
      </c>
      <c r="BS21" s="1">
        <v>0.14480000000000001</v>
      </c>
      <c r="BT21" s="1">
        <v>0.1472</v>
      </c>
      <c r="BU21" s="1">
        <v>0.1517</v>
      </c>
    </row>
    <row r="22" spans="1:73" x14ac:dyDescent="0.3">
      <c r="A22" s="22" t="s">
        <v>175</v>
      </c>
      <c r="B22" s="10">
        <v>0.15659999999999999</v>
      </c>
      <c r="C22" s="10">
        <v>0.15340000000000001</v>
      </c>
      <c r="D22" s="10">
        <v>0.1575</v>
      </c>
      <c r="E22" s="10">
        <v>0.16270000000000001</v>
      </c>
      <c r="F22" s="10">
        <v>0.1479</v>
      </c>
      <c r="G22" s="10">
        <v>0.14910000000000001</v>
      </c>
      <c r="H22" s="10">
        <v>0.15229999999999999</v>
      </c>
      <c r="I22" s="10">
        <v>0.14560000000000001</v>
      </c>
      <c r="J22" s="10">
        <v>0.14000000000000001</v>
      </c>
      <c r="K22" s="10">
        <v>0.1258</v>
      </c>
      <c r="L22" s="10">
        <v>0.14849999999999999</v>
      </c>
      <c r="M22" s="10">
        <v>0.14410000000000001</v>
      </c>
      <c r="N22" s="10">
        <v>0.1431</v>
      </c>
      <c r="O22" s="10">
        <v>0.17519999999999999</v>
      </c>
      <c r="P22" s="10">
        <v>0.1731</v>
      </c>
      <c r="Q22" s="10">
        <v>0.15959999999999999</v>
      </c>
      <c r="R22" s="10">
        <v>0.16750000000000001</v>
      </c>
      <c r="S22" s="10">
        <v>0.15820000000000001</v>
      </c>
      <c r="T22" s="10">
        <v>0.16969999999999999</v>
      </c>
      <c r="U22" s="10">
        <v>0.1668</v>
      </c>
      <c r="V22" s="10">
        <v>0.15939999999999999</v>
      </c>
      <c r="W22" s="10">
        <v>0.16389999999999999</v>
      </c>
      <c r="X22" s="10">
        <v>0.17050000000000001</v>
      </c>
      <c r="Y22" s="10">
        <v>0.17150000000000001</v>
      </c>
      <c r="Z22" s="10">
        <v>0.16520000000000001</v>
      </c>
      <c r="AA22" s="10">
        <v>0.16020000000000001</v>
      </c>
      <c r="AB22" s="10">
        <v>0.16869999999999999</v>
      </c>
      <c r="AC22" s="10">
        <v>0.16650000000000001</v>
      </c>
      <c r="AD22" s="10">
        <v>0.16020000000000001</v>
      </c>
      <c r="AE22" s="10">
        <v>0.1671</v>
      </c>
      <c r="AF22" s="10">
        <v>0.15629999999999999</v>
      </c>
      <c r="AG22" s="10">
        <v>0.16400000000000001</v>
      </c>
      <c r="AH22" s="10">
        <v>0.1709</v>
      </c>
      <c r="AI22" s="10">
        <v>0.1636</v>
      </c>
      <c r="AJ22" s="10">
        <v>0.1686</v>
      </c>
      <c r="AK22" s="10">
        <v>0.17460000000000001</v>
      </c>
      <c r="AL22" s="10">
        <v>0.157</v>
      </c>
      <c r="AM22" s="10">
        <v>0.16900000000000001</v>
      </c>
      <c r="AN22" s="10">
        <v>0.17219999999999999</v>
      </c>
      <c r="AO22" s="2">
        <v>0.1691</v>
      </c>
      <c r="AP22" s="10">
        <v>0.1701</v>
      </c>
      <c r="AQ22" s="10">
        <v>0.1671</v>
      </c>
      <c r="AR22" s="10">
        <v>0.1694</v>
      </c>
      <c r="AS22" s="10">
        <v>0.1696</v>
      </c>
      <c r="AT22" s="10">
        <v>0.17080000000000001</v>
      </c>
      <c r="AU22" s="10">
        <v>0.17249999999999999</v>
      </c>
      <c r="AV22" s="10">
        <v>0.16370000000000001</v>
      </c>
      <c r="AW22" s="10">
        <v>0.1661</v>
      </c>
      <c r="AX22" s="10">
        <v>0.16270000000000001</v>
      </c>
      <c r="AY22" s="10">
        <v>0.17199999999999999</v>
      </c>
      <c r="AZ22" s="10">
        <v>0.17449999999999999</v>
      </c>
      <c r="BA22" s="10">
        <v>0.1666</v>
      </c>
      <c r="BB22" s="10">
        <v>0.1326</v>
      </c>
      <c r="BC22" s="10">
        <v>0.13009999999999999</v>
      </c>
      <c r="BD22" s="10">
        <v>0.13100000000000001</v>
      </c>
      <c r="BE22" s="10">
        <v>0.13919999999999999</v>
      </c>
      <c r="BF22" s="1">
        <v>0.1298</v>
      </c>
      <c r="BG22" s="1">
        <v>0.13780000000000001</v>
      </c>
      <c r="BH22" s="1">
        <v>0.1356</v>
      </c>
      <c r="BI22" s="1">
        <v>0.1356</v>
      </c>
      <c r="BJ22" s="1">
        <v>0.12759999999999999</v>
      </c>
      <c r="BK22" s="1">
        <v>0.1343</v>
      </c>
      <c r="BL22" s="1">
        <v>0.1706</v>
      </c>
      <c r="BM22" s="1">
        <v>0.15759999999999999</v>
      </c>
      <c r="BN22" s="1">
        <v>0.1431</v>
      </c>
      <c r="BO22" s="1">
        <v>0.13339999999999999</v>
      </c>
      <c r="BP22" s="1">
        <v>0.13819999999999999</v>
      </c>
      <c r="BQ22" s="1">
        <v>0.14810000000000001</v>
      </c>
      <c r="BR22" s="1">
        <v>0.15049999999999999</v>
      </c>
      <c r="BS22" s="1">
        <v>0.14349999999999999</v>
      </c>
      <c r="BT22" s="1">
        <v>0.14799999999999999</v>
      </c>
      <c r="BU22" s="1">
        <v>0.13969999999999999</v>
      </c>
    </row>
    <row r="23" spans="1:73" x14ac:dyDescent="0.3">
      <c r="A23" s="22" t="s">
        <v>176</v>
      </c>
      <c r="B23" s="10">
        <v>0.16969999999999999</v>
      </c>
      <c r="C23" s="10">
        <v>0.1696</v>
      </c>
      <c r="D23" s="10">
        <v>0.16719999999999999</v>
      </c>
      <c r="E23" s="10">
        <v>0.16719999999999999</v>
      </c>
      <c r="F23" s="10">
        <v>0.16339999999999999</v>
      </c>
      <c r="G23" s="10">
        <v>0.16289999999999999</v>
      </c>
      <c r="H23" s="10">
        <v>0.15709999999999999</v>
      </c>
      <c r="I23" s="10">
        <v>0.1615</v>
      </c>
      <c r="J23" s="10">
        <v>0.159</v>
      </c>
      <c r="K23" s="10">
        <v>0</v>
      </c>
      <c r="L23" s="10">
        <v>0.16120000000000001</v>
      </c>
      <c r="M23" s="10">
        <v>0.16850000000000001</v>
      </c>
      <c r="N23" s="10">
        <v>0.14760000000000001</v>
      </c>
      <c r="O23" s="10">
        <v>0.18229999999999999</v>
      </c>
      <c r="P23" s="10">
        <v>0.1802</v>
      </c>
      <c r="Q23" s="10">
        <v>0.17280000000000001</v>
      </c>
      <c r="R23" s="10">
        <v>0.1764</v>
      </c>
      <c r="S23" s="10">
        <v>0.1721</v>
      </c>
      <c r="T23" s="10">
        <v>0.1754</v>
      </c>
      <c r="U23" s="10">
        <v>0.17369999999999999</v>
      </c>
      <c r="V23" s="10">
        <v>0.18310000000000001</v>
      </c>
      <c r="W23" s="10">
        <v>0.1734</v>
      </c>
      <c r="X23" s="10">
        <v>0.17399999999999999</v>
      </c>
      <c r="Y23" s="10">
        <v>0.18079999999999999</v>
      </c>
      <c r="Z23" s="10">
        <v>0.17560000000000001</v>
      </c>
      <c r="AA23" s="10">
        <v>0.17849999999999999</v>
      </c>
      <c r="AB23" s="10">
        <v>0.17580000000000001</v>
      </c>
      <c r="AC23" s="10">
        <v>0.1744</v>
      </c>
      <c r="AD23" s="10">
        <v>0.1729</v>
      </c>
      <c r="AE23" s="10">
        <v>0.1822</v>
      </c>
      <c r="AF23" s="10">
        <v>0.1651</v>
      </c>
      <c r="AG23" s="10">
        <v>0.18099999999999999</v>
      </c>
      <c r="AH23" s="10">
        <v>0.1721</v>
      </c>
      <c r="AI23" s="10">
        <v>0.17119999999999999</v>
      </c>
      <c r="AJ23" s="10">
        <v>0.1812</v>
      </c>
      <c r="AK23" s="10">
        <v>0.18279999999999999</v>
      </c>
      <c r="AL23" s="10">
        <v>0.1716</v>
      </c>
      <c r="AM23" s="10">
        <v>0.17849999999999999</v>
      </c>
      <c r="AN23" s="10">
        <v>0.1807</v>
      </c>
      <c r="AO23" s="2">
        <v>0.17050000000000001</v>
      </c>
      <c r="AP23" s="10">
        <v>0.18379999999999999</v>
      </c>
      <c r="AQ23" s="10">
        <v>0.17269999999999999</v>
      </c>
      <c r="AR23" s="10">
        <v>0.1784</v>
      </c>
      <c r="AS23" s="10">
        <v>0.1812</v>
      </c>
      <c r="AT23" s="10">
        <v>0.17630000000000001</v>
      </c>
      <c r="AU23" s="10">
        <v>0.1739</v>
      </c>
      <c r="AV23" s="10">
        <v>0.187</v>
      </c>
      <c r="AW23" s="10">
        <v>0.17419999999999999</v>
      </c>
      <c r="AX23" s="10">
        <v>0.18140000000000001</v>
      </c>
      <c r="AY23" s="10">
        <v>0.1913</v>
      </c>
      <c r="AZ23" s="10">
        <v>0.1822</v>
      </c>
      <c r="BA23" s="10">
        <v>0.17699999999999999</v>
      </c>
      <c r="BB23" s="10">
        <v>0.14099999999999999</v>
      </c>
      <c r="BC23" s="10">
        <v>0.14199999999999999</v>
      </c>
      <c r="BD23" s="10">
        <v>0.13980000000000001</v>
      </c>
      <c r="BE23" s="10">
        <v>0.1419</v>
      </c>
      <c r="BF23" s="1">
        <v>0.14180000000000001</v>
      </c>
      <c r="BG23" s="1">
        <v>0.1421</v>
      </c>
      <c r="BH23" s="1">
        <v>0.14050000000000001</v>
      </c>
      <c r="BI23" s="1">
        <v>0.14480000000000001</v>
      </c>
      <c r="BJ23" s="1">
        <v>0.14180000000000001</v>
      </c>
      <c r="BK23" s="1">
        <v>0.13880000000000001</v>
      </c>
      <c r="BL23" s="1">
        <v>0.17530000000000001</v>
      </c>
      <c r="BM23" s="1">
        <v>0.18090000000000001</v>
      </c>
      <c r="BN23" s="1">
        <v>0.14360000000000001</v>
      </c>
      <c r="BO23" s="1">
        <v>0.14369999999999999</v>
      </c>
      <c r="BP23" s="1">
        <v>0.1406</v>
      </c>
      <c r="BQ23" s="1">
        <v>0.15770000000000001</v>
      </c>
      <c r="BR23" s="1">
        <v>0.16</v>
      </c>
      <c r="BS23" s="1">
        <v>0.16400000000000001</v>
      </c>
      <c r="BT23" s="1">
        <v>0.14630000000000001</v>
      </c>
      <c r="BU23" s="1">
        <v>0.1452</v>
      </c>
    </row>
    <row r="24" spans="1:73" x14ac:dyDescent="0.3">
      <c r="A24" s="22" t="s">
        <v>178</v>
      </c>
      <c r="B24" s="10">
        <v>0</v>
      </c>
      <c r="C24" s="10">
        <v>0</v>
      </c>
      <c r="D24" s="10">
        <v>0.48459999999999998</v>
      </c>
      <c r="E24" s="10">
        <v>0.50349999999999995</v>
      </c>
      <c r="F24" s="10">
        <v>0</v>
      </c>
      <c r="G24" s="10">
        <v>0.45500000000000002</v>
      </c>
      <c r="H24" s="10">
        <v>0.47489999999999999</v>
      </c>
      <c r="I24" s="10">
        <v>0.48959999999999998</v>
      </c>
      <c r="J24" s="10">
        <v>0.46679999999999999</v>
      </c>
      <c r="K24" s="10">
        <v>0.39610000000000001</v>
      </c>
      <c r="L24" s="1">
        <v>0.38240000000000002</v>
      </c>
      <c r="M24" s="10">
        <v>0.49440000000000001</v>
      </c>
      <c r="N24" s="10">
        <v>0.44280000000000003</v>
      </c>
      <c r="O24" s="10">
        <v>0.5353</v>
      </c>
      <c r="P24" s="10">
        <v>0.51819999999999999</v>
      </c>
      <c r="Q24" s="10">
        <v>0.5091</v>
      </c>
      <c r="R24" s="10">
        <v>0.46729999999999999</v>
      </c>
      <c r="S24" s="10">
        <v>0.47589999999999999</v>
      </c>
      <c r="T24" s="10">
        <v>0.50860000000000005</v>
      </c>
      <c r="U24" s="10">
        <v>0.51480000000000004</v>
      </c>
      <c r="V24" s="10">
        <v>0.50039999999999996</v>
      </c>
      <c r="W24" s="10">
        <v>0.49309999999999998</v>
      </c>
      <c r="X24" s="10">
        <v>0.48170000000000002</v>
      </c>
      <c r="Y24" s="10">
        <v>0.50719999999999998</v>
      </c>
      <c r="Z24" s="10">
        <v>0.49149999999999999</v>
      </c>
      <c r="AA24" s="10">
        <v>0.5141</v>
      </c>
      <c r="AB24" s="10">
        <v>0.50829999999999997</v>
      </c>
      <c r="AC24" s="10">
        <v>0.52129999999999999</v>
      </c>
      <c r="AD24" s="10">
        <v>0.50249999999999995</v>
      </c>
      <c r="AE24" s="10">
        <v>0.49840000000000001</v>
      </c>
      <c r="AF24" s="10">
        <v>0.50800000000000001</v>
      </c>
      <c r="AG24" s="10">
        <v>0.48259999999999997</v>
      </c>
      <c r="AH24" s="10">
        <v>0.48920000000000002</v>
      </c>
      <c r="AI24" s="10">
        <v>0.4829</v>
      </c>
      <c r="AJ24" s="10">
        <v>0.49409999999999998</v>
      </c>
      <c r="AK24" s="10">
        <v>0.49519999999999997</v>
      </c>
      <c r="AL24" s="10">
        <v>0.48559999999999998</v>
      </c>
      <c r="AM24" s="10">
        <v>0.43709999999999999</v>
      </c>
      <c r="AN24" s="10">
        <v>0.46410000000000001</v>
      </c>
      <c r="AO24" s="2">
        <v>0.54420000000000002</v>
      </c>
      <c r="AP24" s="10">
        <v>0.47420000000000001</v>
      </c>
      <c r="AQ24" s="10">
        <v>0.49399999999999999</v>
      </c>
      <c r="AR24" s="10">
        <v>0.48899999999999999</v>
      </c>
      <c r="AS24" s="10">
        <v>0.5302</v>
      </c>
      <c r="AT24" s="10">
        <v>0.47199999999999998</v>
      </c>
      <c r="AU24" s="10">
        <v>0.50960000000000005</v>
      </c>
      <c r="AV24" s="10">
        <v>0.52400000000000002</v>
      </c>
      <c r="AW24" s="10">
        <v>0.54330000000000001</v>
      </c>
      <c r="AX24" s="10">
        <v>0.49980000000000002</v>
      </c>
      <c r="AY24" s="10">
        <v>0.52839999999999998</v>
      </c>
      <c r="AZ24" s="10">
        <v>0.50629999999999997</v>
      </c>
      <c r="BA24" s="10">
        <v>0.50470000000000004</v>
      </c>
      <c r="BB24" s="10">
        <v>0.40079999999999999</v>
      </c>
      <c r="BC24" s="10">
        <v>0.45679999999999998</v>
      </c>
      <c r="BD24" s="10">
        <v>0.38600000000000001</v>
      </c>
      <c r="BE24" s="10">
        <v>0.42299999999999999</v>
      </c>
      <c r="BF24" s="1">
        <v>0.46</v>
      </c>
      <c r="BG24" s="1">
        <v>0.42380000000000001</v>
      </c>
      <c r="BH24" s="1">
        <v>0.45319999999999999</v>
      </c>
      <c r="BI24" s="1">
        <v>0.4652</v>
      </c>
      <c r="BJ24" s="1">
        <v>0.39660000000000001</v>
      </c>
      <c r="BK24" s="1">
        <v>0.40489999999999998</v>
      </c>
      <c r="BL24" s="1">
        <v>0.53010000000000002</v>
      </c>
      <c r="BM24" s="1">
        <v>0.50270000000000004</v>
      </c>
      <c r="BN24" s="1">
        <v>0</v>
      </c>
      <c r="BO24" s="1">
        <v>0.40089999999999998</v>
      </c>
      <c r="BP24" s="1">
        <v>0.3911</v>
      </c>
      <c r="BQ24" s="1">
        <v>0.41660000000000003</v>
      </c>
      <c r="BR24" s="1">
        <v>0.45679999999999998</v>
      </c>
      <c r="BS24" s="1">
        <v>0.45340000000000003</v>
      </c>
      <c r="BT24" s="1">
        <v>0.49359999999999998</v>
      </c>
      <c r="BU24" s="1">
        <v>0.39429999999999998</v>
      </c>
    </row>
    <row r="25" spans="1:73" x14ac:dyDescent="0.3">
      <c r="A25" s="22" t="s">
        <v>183</v>
      </c>
      <c r="B25" s="10">
        <v>0.1227</v>
      </c>
      <c r="C25" s="10">
        <v>0.1221</v>
      </c>
      <c r="D25" s="10">
        <v>0</v>
      </c>
      <c r="E25" s="10">
        <v>0</v>
      </c>
      <c r="F25" s="10">
        <v>0</v>
      </c>
      <c r="G25" s="10">
        <v>0.1169</v>
      </c>
      <c r="H25" s="10">
        <v>0</v>
      </c>
      <c r="I25" s="10">
        <v>0.1143</v>
      </c>
      <c r="J25" s="10">
        <v>0.1167</v>
      </c>
      <c r="K25" s="10">
        <v>0</v>
      </c>
      <c r="L25" s="10">
        <v>0.1173</v>
      </c>
      <c r="M25" s="10">
        <v>0.11310000000000001</v>
      </c>
      <c r="N25" s="10">
        <v>0.1113</v>
      </c>
      <c r="O25" s="10">
        <v>0.1303</v>
      </c>
      <c r="P25" s="10">
        <v>0.13150000000000001</v>
      </c>
      <c r="Q25" s="10">
        <v>0.127</v>
      </c>
      <c r="R25" s="10">
        <v>0.1313</v>
      </c>
      <c r="S25" s="10">
        <v>0.12609999999999999</v>
      </c>
      <c r="T25" s="10">
        <v>0.1275</v>
      </c>
      <c r="U25" s="10">
        <v>0.12859999999999999</v>
      </c>
      <c r="V25" s="10">
        <v>0.12720000000000001</v>
      </c>
      <c r="W25" s="10">
        <v>0.1275</v>
      </c>
      <c r="X25" s="10">
        <v>0.13009999999999999</v>
      </c>
      <c r="Y25" s="10">
        <v>0.1305</v>
      </c>
      <c r="Z25" s="10">
        <v>0.12470000000000001</v>
      </c>
      <c r="AA25" s="10">
        <v>0.13200000000000001</v>
      </c>
      <c r="AB25" s="10">
        <v>0.12709999999999999</v>
      </c>
      <c r="AC25" s="10">
        <v>0.12720000000000001</v>
      </c>
      <c r="AD25" s="10">
        <v>0.1235</v>
      </c>
      <c r="AE25" s="10">
        <v>0.125</v>
      </c>
      <c r="AF25" s="10">
        <v>0.1212</v>
      </c>
      <c r="AG25" s="10">
        <v>0.1265</v>
      </c>
      <c r="AH25" s="10">
        <v>0.12709999999999999</v>
      </c>
      <c r="AI25" s="10">
        <v>0.1278</v>
      </c>
      <c r="AJ25" s="10">
        <v>0</v>
      </c>
      <c r="AK25" s="10">
        <v>0.12770000000000001</v>
      </c>
      <c r="AL25" s="10">
        <v>0.1288</v>
      </c>
      <c r="AM25" s="10">
        <v>0.12509999999999999</v>
      </c>
      <c r="AN25" s="10">
        <v>0.1278</v>
      </c>
      <c r="AO25" s="2">
        <v>0</v>
      </c>
      <c r="AP25" s="10">
        <v>0.1278</v>
      </c>
      <c r="AQ25" s="10">
        <v>0.1273</v>
      </c>
      <c r="AR25" s="10">
        <v>0.1258</v>
      </c>
      <c r="AS25" s="10">
        <v>0.12820000000000001</v>
      </c>
      <c r="AT25" s="10">
        <v>0.1268</v>
      </c>
      <c r="AU25" s="10">
        <v>0.12839999999999999</v>
      </c>
      <c r="AV25" s="10">
        <v>0.1283</v>
      </c>
      <c r="AW25" s="10">
        <v>0.1246</v>
      </c>
      <c r="AX25" s="10">
        <v>0.1288</v>
      </c>
      <c r="AY25" s="10">
        <v>0.1258</v>
      </c>
      <c r="AZ25" s="10">
        <v>0.12570000000000001</v>
      </c>
      <c r="BA25" s="10">
        <v>0.12690000000000001</v>
      </c>
      <c r="BB25" s="10">
        <v>0.106</v>
      </c>
      <c r="BC25" s="10">
        <v>0.1033</v>
      </c>
      <c r="BD25" s="10">
        <v>0.1046</v>
      </c>
      <c r="BE25" s="10">
        <v>0.1038</v>
      </c>
      <c r="BF25" s="1">
        <v>0.1037</v>
      </c>
      <c r="BG25" s="1">
        <v>0.10340000000000001</v>
      </c>
      <c r="BH25" s="1">
        <v>0.10390000000000001</v>
      </c>
      <c r="BI25" s="1">
        <v>0.1066</v>
      </c>
      <c r="BJ25" s="1">
        <v>0</v>
      </c>
      <c r="BK25" s="1">
        <v>0</v>
      </c>
      <c r="BL25" s="1">
        <v>0.12330000000000001</v>
      </c>
      <c r="BM25" s="1">
        <v>0.12640000000000001</v>
      </c>
      <c r="BN25" s="1">
        <v>0.1016</v>
      </c>
      <c r="BO25" s="1">
        <v>0.1024</v>
      </c>
      <c r="BP25" s="1">
        <v>0</v>
      </c>
      <c r="BQ25" s="1">
        <v>0.10929999999999999</v>
      </c>
      <c r="BR25" s="1">
        <v>0.1142</v>
      </c>
      <c r="BS25" s="1">
        <v>0.1134</v>
      </c>
      <c r="BT25" s="1">
        <v>0.1144</v>
      </c>
      <c r="BU25" s="1">
        <v>0.1142</v>
      </c>
    </row>
    <row r="26" spans="1:73" x14ac:dyDescent="0.3">
      <c r="A26" s="22" t="s">
        <v>184</v>
      </c>
      <c r="B26" s="10">
        <v>0.13489999999999999</v>
      </c>
      <c r="C26" s="10">
        <v>0</v>
      </c>
      <c r="D26" s="10">
        <v>0</v>
      </c>
      <c r="E26" s="10">
        <v>0</v>
      </c>
      <c r="F26" s="10">
        <v>0.1285</v>
      </c>
      <c r="G26" s="10">
        <v>0</v>
      </c>
      <c r="H26" s="10">
        <v>0</v>
      </c>
      <c r="I26" s="10">
        <v>0.13020000000000001</v>
      </c>
      <c r="J26" s="10">
        <v>0.13089999999999999</v>
      </c>
      <c r="K26" s="10">
        <v>0</v>
      </c>
      <c r="L26" s="10">
        <v>0.13170000000000001</v>
      </c>
      <c r="M26" s="10">
        <v>0.25090000000000001</v>
      </c>
      <c r="N26" s="10">
        <v>0.1236</v>
      </c>
      <c r="O26" s="10">
        <v>0.14849999999999999</v>
      </c>
      <c r="P26" s="10">
        <v>0.14560000000000001</v>
      </c>
      <c r="Q26" s="10">
        <v>0.13950000000000001</v>
      </c>
      <c r="R26" s="10">
        <v>0.14080000000000001</v>
      </c>
      <c r="S26" s="10">
        <v>0.1449</v>
      </c>
      <c r="T26" s="10">
        <v>0.1384</v>
      </c>
      <c r="U26" s="10">
        <v>0.14369999999999999</v>
      </c>
      <c r="V26" s="10">
        <v>0.13950000000000001</v>
      </c>
      <c r="W26" s="10">
        <v>0.14699999999999999</v>
      </c>
      <c r="X26" s="10">
        <v>0.1464</v>
      </c>
      <c r="Y26" s="10">
        <v>0.15060000000000001</v>
      </c>
      <c r="Z26" s="10">
        <v>0.14380000000000001</v>
      </c>
      <c r="AA26" s="10">
        <v>0.14119999999999999</v>
      </c>
      <c r="AB26" s="10">
        <v>0.1409</v>
      </c>
      <c r="AC26" s="10">
        <v>0.14419999999999999</v>
      </c>
      <c r="AD26" s="10">
        <v>0.13869999999999999</v>
      </c>
      <c r="AE26" s="10">
        <v>0.14499999999999999</v>
      </c>
      <c r="AF26" s="10">
        <v>0.13370000000000001</v>
      </c>
      <c r="AG26" s="10">
        <v>0.14680000000000001</v>
      </c>
      <c r="AH26" s="10">
        <v>0.14169999999999999</v>
      </c>
      <c r="AI26" s="10">
        <v>0.1381</v>
      </c>
      <c r="AJ26" s="10">
        <v>0.14180000000000001</v>
      </c>
      <c r="AK26" s="10">
        <v>0</v>
      </c>
      <c r="AL26" s="10">
        <v>0.14050000000000001</v>
      </c>
      <c r="AM26" s="10">
        <v>0</v>
      </c>
      <c r="AN26" s="10">
        <v>0</v>
      </c>
      <c r="AO26" s="2">
        <v>0.13900000000000001</v>
      </c>
      <c r="AP26" s="10">
        <v>0.13830000000000001</v>
      </c>
      <c r="AQ26" s="10">
        <v>0</v>
      </c>
      <c r="AR26" s="10">
        <v>0</v>
      </c>
      <c r="AS26" s="10">
        <v>0</v>
      </c>
      <c r="AT26" s="10">
        <v>0.1426</v>
      </c>
      <c r="AU26" s="10">
        <v>0</v>
      </c>
      <c r="AV26" s="10">
        <v>0.14099999999999999</v>
      </c>
      <c r="AW26" s="10">
        <v>0</v>
      </c>
      <c r="AX26" s="10">
        <v>0</v>
      </c>
      <c r="AY26" s="10">
        <v>0.13919999999999999</v>
      </c>
      <c r="AZ26" s="10">
        <v>0.14449999999999999</v>
      </c>
      <c r="BA26" s="10">
        <v>0</v>
      </c>
      <c r="BB26" s="10">
        <v>0.1202</v>
      </c>
      <c r="BC26" s="10">
        <v>0.1119</v>
      </c>
      <c r="BD26" s="10">
        <v>0.1215</v>
      </c>
      <c r="BE26" s="10">
        <v>0.1178</v>
      </c>
      <c r="BF26" s="1">
        <v>0.1216</v>
      </c>
      <c r="BG26" s="1">
        <v>0.1176</v>
      </c>
      <c r="BH26" s="1">
        <v>0.1162</v>
      </c>
      <c r="BI26" s="1">
        <v>0.1171</v>
      </c>
      <c r="BJ26" s="1">
        <v>0.1168</v>
      </c>
      <c r="BK26" s="1">
        <v>0.1242</v>
      </c>
      <c r="BL26" s="1">
        <v>0</v>
      </c>
      <c r="BM26" s="1">
        <v>0.14219999999999999</v>
      </c>
      <c r="BN26" s="1">
        <v>0.11899999999999999</v>
      </c>
      <c r="BO26" s="1">
        <v>0.1149</v>
      </c>
      <c r="BP26" s="1">
        <v>0.12379999999999999</v>
      </c>
      <c r="BQ26" s="1">
        <v>0</v>
      </c>
      <c r="BR26" s="1">
        <v>0.1234</v>
      </c>
      <c r="BS26" s="1">
        <v>0.12839999999999999</v>
      </c>
      <c r="BT26" s="1">
        <v>0.1192</v>
      </c>
      <c r="BU26" s="1">
        <v>0.1263</v>
      </c>
    </row>
    <row r="27" spans="1:73" x14ac:dyDescent="0.3">
      <c r="A27" s="22" t="s">
        <v>186</v>
      </c>
      <c r="B27" s="10">
        <v>0.10829999999999999</v>
      </c>
      <c r="C27" s="10">
        <v>0.112</v>
      </c>
      <c r="D27" s="10">
        <v>0.11070000000000001</v>
      </c>
      <c r="E27" s="10">
        <v>0.1142</v>
      </c>
      <c r="F27" s="10">
        <v>9.5600000000000004E-2</v>
      </c>
      <c r="G27" s="10">
        <v>9.9099999999999994E-2</v>
      </c>
      <c r="H27" s="10">
        <v>9.8199999999999996E-2</v>
      </c>
      <c r="I27" s="10">
        <v>6.0699999999999997E-2</v>
      </c>
      <c r="J27" s="10">
        <v>6.3200000000000006E-2</v>
      </c>
      <c r="K27" s="10">
        <v>5.57E-2</v>
      </c>
      <c r="L27" s="10">
        <v>6.3500000000000001E-2</v>
      </c>
      <c r="M27" s="10">
        <v>6.2700000000000006E-2</v>
      </c>
      <c r="N27" s="10">
        <v>5.8999999999999997E-2</v>
      </c>
      <c r="O27" s="10">
        <v>7.8100000000000003E-2</v>
      </c>
      <c r="P27" s="10">
        <v>7.5300000000000006E-2</v>
      </c>
      <c r="Q27" s="10">
        <v>7.6200000000000004E-2</v>
      </c>
      <c r="R27" s="10">
        <v>8.09E-2</v>
      </c>
      <c r="S27" s="10">
        <v>7.6899999999999996E-2</v>
      </c>
      <c r="T27" s="10">
        <v>8.2799999999999999E-2</v>
      </c>
      <c r="U27" s="10">
        <v>7.6999999999999999E-2</v>
      </c>
      <c r="V27" s="10">
        <v>7.7499999999999999E-2</v>
      </c>
      <c r="W27" s="10">
        <v>7.8899999999999998E-2</v>
      </c>
      <c r="X27" s="10">
        <v>7.7600000000000002E-2</v>
      </c>
      <c r="Y27" s="10">
        <v>8.0600000000000005E-2</v>
      </c>
      <c r="Z27" s="10">
        <v>7.8600000000000003E-2</v>
      </c>
      <c r="AA27" s="10">
        <v>7.7299999999999994E-2</v>
      </c>
      <c r="AB27" s="10">
        <v>7.8E-2</v>
      </c>
      <c r="AC27" s="10">
        <v>7.8100000000000003E-2</v>
      </c>
      <c r="AD27" s="10">
        <v>7.9600000000000004E-2</v>
      </c>
      <c r="AE27" s="10">
        <v>8.0399999999999999E-2</v>
      </c>
      <c r="AF27" s="10">
        <v>7.9799999999999996E-2</v>
      </c>
      <c r="AG27" s="10">
        <v>7.8399999999999997E-2</v>
      </c>
      <c r="AH27" s="10">
        <v>7.7600000000000002E-2</v>
      </c>
      <c r="AI27" s="10">
        <v>7.9100000000000004E-2</v>
      </c>
      <c r="AJ27" s="10">
        <v>8.1699999999999995E-2</v>
      </c>
      <c r="AK27" s="10">
        <v>7.2300000000000003E-2</v>
      </c>
      <c r="AL27" s="10">
        <v>7.3400000000000007E-2</v>
      </c>
      <c r="AM27" s="10">
        <v>6.9400000000000003E-2</v>
      </c>
      <c r="AN27" s="10">
        <v>7.3899999999999993E-2</v>
      </c>
      <c r="AO27" s="2">
        <v>7.3899999999999993E-2</v>
      </c>
      <c r="AP27" s="10">
        <v>7.3499999999999996E-2</v>
      </c>
      <c r="AQ27" s="10">
        <v>7.1300000000000002E-2</v>
      </c>
      <c r="AR27" s="10">
        <v>7.3999999999999996E-2</v>
      </c>
      <c r="AS27" s="10">
        <v>6.9800000000000001E-2</v>
      </c>
      <c r="AT27" s="10">
        <v>7.2400000000000006E-2</v>
      </c>
      <c r="AU27" s="10">
        <v>7.1599999999999997E-2</v>
      </c>
      <c r="AV27" s="10">
        <v>7.3599999999999999E-2</v>
      </c>
      <c r="AW27" s="10">
        <v>7.0099999999999996E-2</v>
      </c>
      <c r="AX27" s="10">
        <v>7.1900000000000006E-2</v>
      </c>
      <c r="AY27" s="10">
        <v>7.1800000000000003E-2</v>
      </c>
      <c r="AZ27" s="10">
        <v>7.17E-2</v>
      </c>
      <c r="BA27" s="10">
        <v>7.2499999999999995E-2</v>
      </c>
      <c r="BB27" s="10">
        <v>5.96E-2</v>
      </c>
      <c r="BC27" s="10">
        <v>0</v>
      </c>
      <c r="BD27" s="10">
        <v>5.8299999999999998E-2</v>
      </c>
      <c r="BE27" s="10">
        <v>6.0100000000000001E-2</v>
      </c>
      <c r="BF27" s="1">
        <v>0</v>
      </c>
      <c r="BG27" s="1">
        <v>5.8200000000000002E-2</v>
      </c>
      <c r="BH27" s="1">
        <v>0</v>
      </c>
      <c r="BI27" s="1">
        <v>6.1899999999999997E-2</v>
      </c>
      <c r="BJ27" s="1">
        <v>6.0400000000000002E-2</v>
      </c>
      <c r="BK27" s="1">
        <v>5.8799999999999998E-2</v>
      </c>
      <c r="BL27" s="1">
        <v>7.1199999999999999E-2</v>
      </c>
      <c r="BM27" s="1">
        <v>6.6199999999999995E-2</v>
      </c>
      <c r="BN27" s="1">
        <v>0</v>
      </c>
      <c r="BO27" s="1">
        <v>5.8200000000000002E-2</v>
      </c>
      <c r="BP27" s="1">
        <v>6.1100000000000002E-2</v>
      </c>
      <c r="BQ27" s="1">
        <v>6.2899999999999998E-2</v>
      </c>
      <c r="BR27" s="1">
        <v>6.1400000000000003E-2</v>
      </c>
      <c r="BS27" s="1">
        <v>6.1400000000000003E-2</v>
      </c>
      <c r="BT27" s="1">
        <v>6.3700000000000007E-2</v>
      </c>
      <c r="BU27" s="1">
        <v>6.0699999999999997E-2</v>
      </c>
    </row>
    <row r="28" spans="1:73" x14ac:dyDescent="0.3">
      <c r="A28" s="22" t="s">
        <v>187</v>
      </c>
      <c r="B28" s="10">
        <v>8.3299999999999999E-2</v>
      </c>
      <c r="C28" s="10">
        <v>8.5000000000000006E-2</v>
      </c>
      <c r="D28" s="10">
        <v>8.1900000000000001E-2</v>
      </c>
      <c r="E28" s="10">
        <v>8.5699999999999998E-2</v>
      </c>
      <c r="F28" s="10">
        <v>8.2199999999999995E-2</v>
      </c>
      <c r="G28" s="10">
        <v>8.09E-2</v>
      </c>
      <c r="H28" s="10">
        <v>8.2000000000000003E-2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8.3299999999999999E-2</v>
      </c>
      <c r="P28" s="10">
        <v>0</v>
      </c>
      <c r="Q28" s="10">
        <v>8.3599999999999994E-2</v>
      </c>
      <c r="R28" s="10">
        <v>0</v>
      </c>
      <c r="S28" s="10">
        <v>8.3500000000000005E-2</v>
      </c>
      <c r="T28" s="10">
        <v>8.8200000000000001E-2</v>
      </c>
      <c r="U28" s="10">
        <v>8.5199999999999998E-2</v>
      </c>
      <c r="V28" s="10">
        <v>0</v>
      </c>
      <c r="W28" s="10">
        <v>8.5199999999999998E-2</v>
      </c>
      <c r="X28" s="10">
        <v>8.5999999999999993E-2</v>
      </c>
      <c r="Y28" s="10">
        <v>8.3199999999999996E-2</v>
      </c>
      <c r="Z28" s="10">
        <v>0</v>
      </c>
      <c r="AA28" s="10">
        <v>8.5500000000000007E-2</v>
      </c>
      <c r="AB28" s="10">
        <v>0</v>
      </c>
      <c r="AC28" s="10">
        <v>8.5400000000000004E-2</v>
      </c>
      <c r="AD28" s="10">
        <v>0</v>
      </c>
      <c r="AE28" s="10">
        <v>8.4500000000000006E-2</v>
      </c>
      <c r="AF28" s="10">
        <v>8.4000000000000005E-2</v>
      </c>
      <c r="AG28" s="10">
        <v>8.5300000000000001E-2</v>
      </c>
      <c r="AH28" s="10">
        <v>8.4400000000000003E-2</v>
      </c>
      <c r="AI28" s="10">
        <v>8.43E-2</v>
      </c>
      <c r="AJ28" s="10">
        <v>0</v>
      </c>
      <c r="AK28" s="10">
        <v>0</v>
      </c>
      <c r="AL28" s="10">
        <v>8.4900000000000003E-2</v>
      </c>
      <c r="AM28" s="10">
        <v>8.5300000000000001E-2</v>
      </c>
      <c r="AN28" s="10">
        <v>0</v>
      </c>
      <c r="AO28" s="2">
        <v>8.6599999999999996E-2</v>
      </c>
      <c r="AP28" s="10">
        <v>0</v>
      </c>
      <c r="AQ28" s="10">
        <v>8.3699999999999997E-2</v>
      </c>
      <c r="AR28" s="10">
        <v>8.2400000000000001E-2</v>
      </c>
      <c r="AS28" s="10">
        <v>8.6499999999999994E-2</v>
      </c>
      <c r="AT28" s="10">
        <v>8.3900000000000002E-2</v>
      </c>
      <c r="AU28" s="10">
        <v>8.5900000000000004E-2</v>
      </c>
      <c r="AV28" s="10">
        <v>8.3699999999999997E-2</v>
      </c>
      <c r="AW28" s="10">
        <v>8.5400000000000004E-2</v>
      </c>
      <c r="AX28" s="10">
        <v>0</v>
      </c>
      <c r="AY28" s="10">
        <v>8.3699999999999997E-2</v>
      </c>
      <c r="AZ28" s="10">
        <v>8.7099999999999997E-2</v>
      </c>
      <c r="BA28" s="10">
        <v>8.4599999999999995E-2</v>
      </c>
      <c r="BB28" s="10">
        <v>0</v>
      </c>
      <c r="BC28" s="10">
        <v>0</v>
      </c>
      <c r="BD28" s="10">
        <v>0</v>
      </c>
      <c r="BE28" s="10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7.3899999999999993E-2</v>
      </c>
      <c r="BT28" s="1">
        <v>7.6600000000000001E-2</v>
      </c>
      <c r="BU28" s="1">
        <v>0</v>
      </c>
    </row>
    <row r="29" spans="1:73" x14ac:dyDescent="0.3">
      <c r="A29" s="22" t="s">
        <v>0</v>
      </c>
      <c r="B29" s="10">
        <v>4.6699999999999998E-2</v>
      </c>
      <c r="C29" s="10">
        <v>4.5699999999999998E-2</v>
      </c>
      <c r="D29" s="10">
        <v>4.8399999999999999E-2</v>
      </c>
      <c r="E29" s="10">
        <v>4.8500000000000001E-2</v>
      </c>
      <c r="F29" s="10">
        <v>4.9000000000000002E-2</v>
      </c>
      <c r="G29" s="10">
        <v>4.9000000000000002E-2</v>
      </c>
      <c r="H29" s="10">
        <v>4.8399999999999999E-2</v>
      </c>
      <c r="I29" s="10">
        <v>5.8000000000000003E-2</v>
      </c>
      <c r="J29" s="10">
        <v>5.2400000000000002E-2</v>
      </c>
      <c r="K29" s="10">
        <v>0</v>
      </c>
      <c r="L29" s="10">
        <v>5.0200000000000002E-2</v>
      </c>
      <c r="M29" s="10">
        <v>5.2499999999999998E-2</v>
      </c>
      <c r="N29" s="10">
        <v>4.8599999999999997E-2</v>
      </c>
      <c r="O29" s="10">
        <v>4.5999999999999999E-2</v>
      </c>
      <c r="P29" s="10">
        <v>4.6600000000000003E-2</v>
      </c>
      <c r="Q29" s="10">
        <v>4.1399999999999999E-2</v>
      </c>
      <c r="R29" s="10">
        <v>4.3200000000000002E-2</v>
      </c>
      <c r="S29" s="10">
        <v>4.5400000000000003E-2</v>
      </c>
      <c r="T29" s="10">
        <v>4.4600000000000001E-2</v>
      </c>
      <c r="U29" s="10">
        <v>4.6800000000000001E-2</v>
      </c>
      <c r="V29" s="10">
        <v>4.4600000000000001E-2</v>
      </c>
      <c r="W29" s="10">
        <v>4.5999999999999999E-2</v>
      </c>
      <c r="X29" s="10">
        <v>4.6699999999999998E-2</v>
      </c>
      <c r="Y29" s="10">
        <v>4.4499999999999998E-2</v>
      </c>
      <c r="Z29" s="10">
        <v>4.4900000000000002E-2</v>
      </c>
      <c r="AA29" s="10">
        <v>4.2000000000000003E-2</v>
      </c>
      <c r="AB29" s="10">
        <v>0</v>
      </c>
      <c r="AC29" s="10">
        <v>4.6800000000000001E-2</v>
      </c>
      <c r="AD29" s="10">
        <v>4.0399999999999998E-2</v>
      </c>
      <c r="AE29" s="10">
        <v>4.4699999999999997E-2</v>
      </c>
      <c r="AF29" s="10">
        <v>5.3699999999999998E-2</v>
      </c>
      <c r="AG29" s="10">
        <v>4.7600000000000003E-2</v>
      </c>
      <c r="AH29" s="10">
        <v>4.19E-2</v>
      </c>
      <c r="AI29" s="10">
        <v>4.0399999999999998E-2</v>
      </c>
      <c r="AJ29" s="10">
        <v>4.7199999999999999E-2</v>
      </c>
      <c r="AK29" s="10">
        <v>4.6199999999999998E-2</v>
      </c>
      <c r="AL29" s="10">
        <v>4.3700000000000003E-2</v>
      </c>
      <c r="AM29" s="10">
        <v>4.4400000000000002E-2</v>
      </c>
      <c r="AN29" s="10">
        <v>4.4900000000000002E-2</v>
      </c>
      <c r="AO29" s="2">
        <v>4.5400000000000003E-2</v>
      </c>
      <c r="AP29" s="10">
        <v>4.4600000000000001E-2</v>
      </c>
      <c r="AQ29" s="10">
        <v>4.5100000000000001E-2</v>
      </c>
      <c r="AR29" s="10">
        <v>4.53E-2</v>
      </c>
      <c r="AS29" s="10">
        <v>4.4900000000000002E-2</v>
      </c>
      <c r="AT29" s="10">
        <v>4.4600000000000001E-2</v>
      </c>
      <c r="AU29" s="10">
        <v>4.4600000000000001E-2</v>
      </c>
      <c r="AV29" s="10">
        <v>4.4699999999999997E-2</v>
      </c>
      <c r="AW29" s="10">
        <v>4.3700000000000003E-2</v>
      </c>
      <c r="AX29" s="10">
        <v>4.3900000000000002E-2</v>
      </c>
      <c r="AY29" s="10">
        <v>9.0700000000000003E-2</v>
      </c>
      <c r="AZ29" s="10">
        <v>4.48E-2</v>
      </c>
      <c r="BA29" s="10">
        <v>4.3900000000000002E-2</v>
      </c>
      <c r="BB29" s="10">
        <v>5.5199999999999999E-2</v>
      </c>
      <c r="BC29" s="10">
        <v>5.4800000000000001E-2</v>
      </c>
      <c r="BD29" s="10">
        <v>5.4100000000000002E-2</v>
      </c>
      <c r="BE29" s="10">
        <v>5.5800000000000002E-2</v>
      </c>
      <c r="BF29" s="1">
        <v>5.5500000000000001E-2</v>
      </c>
      <c r="BG29" s="1">
        <v>5.7200000000000001E-2</v>
      </c>
      <c r="BH29" s="1">
        <v>5.7200000000000001E-2</v>
      </c>
      <c r="BI29" s="1">
        <v>5.7000000000000002E-2</v>
      </c>
      <c r="BJ29" s="1">
        <v>5.1799999999999999E-2</v>
      </c>
      <c r="BK29" s="1">
        <v>5.45E-2</v>
      </c>
      <c r="BL29" s="1">
        <v>4.4600000000000001E-2</v>
      </c>
      <c r="BM29" s="1">
        <v>4.3099999999999999E-2</v>
      </c>
      <c r="BN29" s="1">
        <v>5.3600000000000002E-2</v>
      </c>
      <c r="BO29" s="1">
        <v>5.74E-2</v>
      </c>
      <c r="BP29" s="1">
        <v>5.5800000000000002E-2</v>
      </c>
      <c r="BQ29" s="1">
        <v>5.1299999999999998E-2</v>
      </c>
      <c r="BR29" s="1">
        <v>5.3199999999999997E-2</v>
      </c>
      <c r="BS29" s="1">
        <v>5.0799999999999998E-2</v>
      </c>
      <c r="BT29" s="1">
        <v>5.33E-2</v>
      </c>
      <c r="BU29" s="1">
        <v>5.11E-2</v>
      </c>
    </row>
    <row r="30" spans="1:73" x14ac:dyDescent="0.3">
      <c r="A30" s="22" t="s">
        <v>1</v>
      </c>
      <c r="B30" s="10">
        <v>1.35E-2</v>
      </c>
      <c r="C30" s="10">
        <v>1.37E-2</v>
      </c>
      <c r="D30" s="10">
        <v>1.44E-2</v>
      </c>
      <c r="E30" s="10">
        <v>1.41E-2</v>
      </c>
      <c r="F30" s="10">
        <v>1.34E-2</v>
      </c>
      <c r="G30" s="10">
        <v>1.2999999999999999E-2</v>
      </c>
      <c r="H30" s="10">
        <v>1.3299999999999999E-2</v>
      </c>
      <c r="I30" s="10">
        <v>1.2800000000000001E-2</v>
      </c>
      <c r="J30" s="10">
        <v>1.3100000000000001E-2</v>
      </c>
      <c r="K30" s="10">
        <v>1.17E-2</v>
      </c>
      <c r="L30" s="10">
        <v>1.37E-2</v>
      </c>
      <c r="M30" s="10">
        <v>1.2699999999999999E-2</v>
      </c>
      <c r="N30" s="10">
        <v>1.3299999999999999E-2</v>
      </c>
      <c r="O30" s="10">
        <v>1.4800000000000001E-2</v>
      </c>
      <c r="P30" s="10">
        <v>1.5299999999999999E-2</v>
      </c>
      <c r="Q30" s="10">
        <v>1.54E-2</v>
      </c>
      <c r="R30" s="10">
        <v>1.52E-2</v>
      </c>
      <c r="S30" s="10">
        <v>1.5299999999999999E-2</v>
      </c>
      <c r="T30" s="10">
        <v>1.4500000000000001E-2</v>
      </c>
      <c r="U30" s="10">
        <v>1.4800000000000001E-2</v>
      </c>
      <c r="V30" s="10">
        <v>1.52E-2</v>
      </c>
      <c r="W30" s="10">
        <v>1.4800000000000001E-2</v>
      </c>
      <c r="X30" s="10">
        <v>1.5299999999999999E-2</v>
      </c>
      <c r="Y30" s="10">
        <v>0</v>
      </c>
      <c r="Z30" s="10">
        <v>1.4500000000000001E-2</v>
      </c>
      <c r="AA30" s="10">
        <v>1.47E-2</v>
      </c>
      <c r="AB30" s="10">
        <v>1.4500000000000001E-2</v>
      </c>
      <c r="AC30" s="10">
        <v>1.4999999999999999E-2</v>
      </c>
      <c r="AD30" s="10">
        <v>1.43E-2</v>
      </c>
      <c r="AE30" s="10">
        <v>1.55E-2</v>
      </c>
      <c r="AF30" s="10">
        <v>1.54E-2</v>
      </c>
      <c r="AG30" s="10">
        <v>1.46E-2</v>
      </c>
      <c r="AH30" s="10">
        <v>1.5699999999999999E-2</v>
      </c>
      <c r="AI30" s="10">
        <v>1.49E-2</v>
      </c>
      <c r="AJ30" s="10">
        <v>1.4200000000000001E-2</v>
      </c>
      <c r="AK30" s="10">
        <v>1.43E-2</v>
      </c>
      <c r="AL30" s="10">
        <v>1.4999999999999999E-2</v>
      </c>
      <c r="AM30" s="10">
        <v>1.4800000000000001E-2</v>
      </c>
      <c r="AN30" s="10">
        <v>1.4999999999999999E-2</v>
      </c>
      <c r="AO30" s="2">
        <v>1.46E-2</v>
      </c>
      <c r="AP30" s="10">
        <v>1.5299999999999999E-2</v>
      </c>
      <c r="AQ30" s="10">
        <v>1.5299999999999999E-2</v>
      </c>
      <c r="AR30" s="10">
        <v>1.5599999999999999E-2</v>
      </c>
      <c r="AS30" s="10">
        <v>1.43E-2</v>
      </c>
      <c r="AT30" s="10">
        <v>1.5100000000000001E-2</v>
      </c>
      <c r="AU30" s="10">
        <v>1.41E-2</v>
      </c>
      <c r="AV30" s="10">
        <v>1.4999999999999999E-2</v>
      </c>
      <c r="AW30" s="10">
        <v>1.46E-2</v>
      </c>
      <c r="AX30" s="10">
        <v>1.49E-2</v>
      </c>
      <c r="AY30" s="10">
        <v>1.46E-2</v>
      </c>
      <c r="AZ30" s="10">
        <v>1.54E-2</v>
      </c>
      <c r="BA30" s="10">
        <v>1.44E-2</v>
      </c>
      <c r="BB30" s="10">
        <v>1.55E-2</v>
      </c>
      <c r="BC30" s="10">
        <v>1.4999999999999999E-2</v>
      </c>
      <c r="BD30" s="10">
        <v>1.5599999999999999E-2</v>
      </c>
      <c r="BE30" s="10">
        <v>1.6E-2</v>
      </c>
      <c r="BF30" s="1">
        <v>1.55E-2</v>
      </c>
      <c r="BG30" s="1">
        <v>1.4800000000000001E-2</v>
      </c>
      <c r="BH30" s="1">
        <v>1.5299999999999999E-2</v>
      </c>
      <c r="BI30" s="1">
        <v>1.5599999999999999E-2</v>
      </c>
      <c r="BJ30" s="1">
        <v>1.49E-2</v>
      </c>
      <c r="BK30" s="1">
        <v>1.52E-2</v>
      </c>
      <c r="BL30" s="1">
        <v>1.5100000000000001E-2</v>
      </c>
      <c r="BM30" s="1">
        <v>1.4999999999999999E-2</v>
      </c>
      <c r="BN30" s="1">
        <v>1.38E-2</v>
      </c>
      <c r="BO30" s="1">
        <v>1.46E-2</v>
      </c>
      <c r="BP30" s="1">
        <v>1.5100000000000001E-2</v>
      </c>
      <c r="BQ30" s="1">
        <v>1.3599999999999999E-2</v>
      </c>
      <c r="BR30" s="1">
        <v>1.3599999999999999E-2</v>
      </c>
      <c r="BS30" s="1">
        <v>1.3899999999999999E-2</v>
      </c>
      <c r="BT30" s="1">
        <v>1.3599999999999999E-2</v>
      </c>
      <c r="BU30" s="1">
        <v>1.29E-2</v>
      </c>
    </row>
    <row r="31" spans="1:73" x14ac:dyDescent="0.3">
      <c r="A31" s="25" t="s">
        <v>526</v>
      </c>
      <c r="B31" s="9">
        <v>1.6E-2</v>
      </c>
      <c r="C31" s="9">
        <v>1.5599999999999999E-2</v>
      </c>
      <c r="D31" s="9">
        <v>1.61E-2</v>
      </c>
      <c r="E31" s="9">
        <v>1.5699999999999999E-2</v>
      </c>
      <c r="F31" s="9">
        <v>1.52E-2</v>
      </c>
      <c r="G31" s="9">
        <v>1.49E-2</v>
      </c>
      <c r="H31" s="9">
        <v>1.44E-2</v>
      </c>
      <c r="I31" s="9">
        <v>1.5299999999999999E-2</v>
      </c>
      <c r="J31" s="9">
        <v>1.52E-2</v>
      </c>
      <c r="K31" s="9">
        <v>0</v>
      </c>
      <c r="L31" s="9">
        <v>1.4800000000000001E-2</v>
      </c>
      <c r="M31" s="9">
        <v>1.4800000000000001E-2</v>
      </c>
      <c r="N31" s="9">
        <v>1.2500000000000001E-2</v>
      </c>
      <c r="O31" s="9">
        <v>1.77E-2</v>
      </c>
      <c r="P31" s="9">
        <v>1.6500000000000001E-2</v>
      </c>
      <c r="Q31" s="9">
        <v>1.6899999999999998E-2</v>
      </c>
      <c r="R31" s="9">
        <v>1.6799999999999999E-2</v>
      </c>
      <c r="S31" s="9">
        <v>1.6199999999999999E-2</v>
      </c>
      <c r="T31" s="9">
        <v>1.67E-2</v>
      </c>
      <c r="U31" s="9">
        <v>1.6299999999999999E-2</v>
      </c>
      <c r="V31" s="9">
        <v>1.6E-2</v>
      </c>
      <c r="W31" s="11">
        <v>1.6899999999999998E-2</v>
      </c>
      <c r="X31" s="11">
        <v>1.6400000000000001E-2</v>
      </c>
      <c r="Y31" s="11">
        <v>1.5900000000000001E-2</v>
      </c>
      <c r="Z31" s="11">
        <v>0</v>
      </c>
      <c r="AA31" s="11">
        <v>0</v>
      </c>
      <c r="AB31" s="11">
        <v>1.7000000000000001E-2</v>
      </c>
      <c r="AC31" s="11">
        <v>1.67E-2</v>
      </c>
      <c r="AD31" s="11">
        <v>1.6899999999999998E-2</v>
      </c>
      <c r="AE31" s="11">
        <v>1.6400000000000001E-2</v>
      </c>
      <c r="AF31" s="11">
        <v>1.8100000000000002E-2</v>
      </c>
      <c r="AG31" s="11">
        <v>1.7000000000000001E-2</v>
      </c>
      <c r="AH31" s="11">
        <v>1.5699999999999999E-2</v>
      </c>
      <c r="AI31" s="11">
        <v>1.5299999999999999E-2</v>
      </c>
      <c r="AJ31" s="11">
        <v>1.6799999999999999E-2</v>
      </c>
      <c r="AK31" s="11">
        <v>1.6500000000000001E-2</v>
      </c>
      <c r="AL31" s="11">
        <v>1.6799999999999999E-2</v>
      </c>
      <c r="AM31" s="11">
        <v>1.61E-2</v>
      </c>
      <c r="AN31" s="11">
        <v>1.6299999999999999E-2</v>
      </c>
      <c r="AO31" s="11">
        <v>1.6E-2</v>
      </c>
      <c r="AP31" s="11">
        <v>1.7299999999999999E-2</v>
      </c>
      <c r="AQ31" s="11">
        <v>1.6799999999999999E-2</v>
      </c>
      <c r="AR31" s="11">
        <v>1.72E-2</v>
      </c>
      <c r="AS31" s="11">
        <v>1.5900000000000001E-2</v>
      </c>
      <c r="AT31" s="11">
        <v>1.6400000000000001E-2</v>
      </c>
      <c r="AU31" s="11">
        <v>1.7000000000000001E-2</v>
      </c>
      <c r="AV31" s="11">
        <v>1.5699999999999999E-2</v>
      </c>
      <c r="AW31" s="11">
        <v>1.7399999999999999E-2</v>
      </c>
      <c r="AX31" s="11">
        <v>1.55E-2</v>
      </c>
      <c r="AY31" s="11">
        <v>1.66E-2</v>
      </c>
      <c r="AZ31" s="11">
        <v>1.6299999999999999E-2</v>
      </c>
      <c r="BA31" s="11">
        <v>1.6899999999999998E-2</v>
      </c>
      <c r="BB31" s="11">
        <v>1.47E-2</v>
      </c>
      <c r="BC31" s="11">
        <v>1.44E-2</v>
      </c>
      <c r="BD31" s="11">
        <v>1.49E-2</v>
      </c>
      <c r="BE31" s="11">
        <v>1.5599999999999999E-2</v>
      </c>
      <c r="BF31" s="9">
        <v>1.4999999999999999E-2</v>
      </c>
      <c r="BG31" s="9">
        <v>1.5100000000000001E-2</v>
      </c>
      <c r="BH31" s="9">
        <v>1.4999999999999999E-2</v>
      </c>
      <c r="BI31" s="9">
        <v>1.4999999999999999E-2</v>
      </c>
      <c r="BJ31" s="9">
        <v>1.44E-2</v>
      </c>
      <c r="BK31" s="9">
        <v>1.37E-2</v>
      </c>
      <c r="BL31" s="9">
        <v>1.7000000000000001E-2</v>
      </c>
      <c r="BM31" s="9">
        <v>1.67E-2</v>
      </c>
      <c r="BN31" s="9">
        <v>1.46E-2</v>
      </c>
      <c r="BO31" s="9">
        <v>1.44E-2</v>
      </c>
      <c r="BP31" s="9">
        <v>1.5699999999999999E-2</v>
      </c>
      <c r="BQ31" s="9">
        <v>1.4200000000000001E-2</v>
      </c>
      <c r="BR31" s="9">
        <v>1.3599999999999999E-2</v>
      </c>
      <c r="BS31" s="9">
        <v>1.49E-2</v>
      </c>
      <c r="BT31" s="9">
        <v>1.3899999999999999E-2</v>
      </c>
      <c r="BU31" s="9">
        <v>1.4E-2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0B63-DAE1-49BE-A712-C30DBB684803}">
  <dimension ref="A1:EP22"/>
  <sheetViews>
    <sheetView showGridLines="0" workbookViewId="0">
      <selection activeCell="B3" sqref="B3"/>
    </sheetView>
  </sheetViews>
  <sheetFormatPr baseColWidth="10" defaultRowHeight="14.4" x14ac:dyDescent="0.3"/>
  <sheetData>
    <row r="1" spans="1:146" s="37" customFormat="1" x14ac:dyDescent="0.3">
      <c r="A1" s="37" t="s">
        <v>885</v>
      </c>
    </row>
    <row r="4" spans="1:146" s="26" customFormat="1" x14ac:dyDescent="0.3">
      <c r="A4" s="33"/>
      <c r="B4" s="28" t="s">
        <v>2</v>
      </c>
      <c r="C4" s="28" t="s">
        <v>3</v>
      </c>
      <c r="D4" s="28" t="s">
        <v>737</v>
      </c>
      <c r="E4" s="28" t="s">
        <v>738</v>
      </c>
      <c r="F4" s="28" t="s">
        <v>739</v>
      </c>
      <c r="G4" s="28" t="s">
        <v>740</v>
      </c>
      <c r="H4" s="28" t="s">
        <v>741</v>
      </c>
      <c r="I4" s="28" t="s">
        <v>742</v>
      </c>
      <c r="J4" s="28" t="s">
        <v>743</v>
      </c>
      <c r="K4" s="28" t="s">
        <v>744</v>
      </c>
      <c r="L4" s="28" t="s">
        <v>745</v>
      </c>
      <c r="M4" s="28" t="s">
        <v>746</v>
      </c>
      <c r="N4" s="28" t="s">
        <v>747</v>
      </c>
      <c r="O4" s="28" t="s">
        <v>748</v>
      </c>
      <c r="P4" s="28" t="s">
        <v>749</v>
      </c>
      <c r="Q4" s="28" t="s">
        <v>750</v>
      </c>
      <c r="R4" s="28" t="s">
        <v>751</v>
      </c>
      <c r="S4" s="28" t="s">
        <v>752</v>
      </c>
      <c r="T4" s="28" t="s">
        <v>753</v>
      </c>
      <c r="U4" s="28" t="s">
        <v>754</v>
      </c>
      <c r="V4" s="28" t="s">
        <v>755</v>
      </c>
      <c r="W4" s="28" t="s">
        <v>756</v>
      </c>
      <c r="X4" s="28" t="s">
        <v>757</v>
      </c>
      <c r="Y4" s="28" t="s">
        <v>758</v>
      </c>
      <c r="Z4" s="28" t="s">
        <v>759</v>
      </c>
      <c r="AA4" s="28" t="s">
        <v>760</v>
      </c>
      <c r="AB4" s="28" t="s">
        <v>761</v>
      </c>
      <c r="AC4" s="28" t="s">
        <v>762</v>
      </c>
      <c r="AD4" s="28" t="s">
        <v>763</v>
      </c>
      <c r="AE4" s="28" t="s">
        <v>764</v>
      </c>
      <c r="AF4" s="28" t="s">
        <v>765</v>
      </c>
      <c r="AG4" s="28" t="s">
        <v>766</v>
      </c>
      <c r="AH4" s="28" t="s">
        <v>767</v>
      </c>
      <c r="AI4" s="28" t="s">
        <v>768</v>
      </c>
      <c r="AJ4" s="28" t="s">
        <v>769</v>
      </c>
      <c r="AK4" s="28" t="s">
        <v>770</v>
      </c>
      <c r="AL4" s="28" t="s">
        <v>771</v>
      </c>
      <c r="AM4" s="28" t="s">
        <v>772</v>
      </c>
      <c r="AN4" s="28" t="s">
        <v>773</v>
      </c>
      <c r="AO4" s="28" t="s">
        <v>774</v>
      </c>
      <c r="AP4" s="28" t="s">
        <v>775</v>
      </c>
      <c r="AQ4" s="28" t="s">
        <v>776</v>
      </c>
      <c r="AR4" s="28" t="s">
        <v>777</v>
      </c>
      <c r="AS4" s="28" t="s">
        <v>778</v>
      </c>
      <c r="AT4" s="28" t="s">
        <v>779</v>
      </c>
      <c r="AU4" s="28" t="s">
        <v>780</v>
      </c>
      <c r="AV4" s="28" t="s">
        <v>781</v>
      </c>
      <c r="AW4" s="28" t="s">
        <v>782</v>
      </c>
      <c r="AX4" s="28" t="s">
        <v>783</v>
      </c>
      <c r="AY4" s="28" t="s">
        <v>784</v>
      </c>
      <c r="AZ4" s="28" t="s">
        <v>785</v>
      </c>
      <c r="BA4" s="28" t="s">
        <v>786</v>
      </c>
      <c r="BB4" s="28" t="s">
        <v>787</v>
      </c>
      <c r="BC4" s="28" t="s">
        <v>788</v>
      </c>
      <c r="BD4" s="28" t="s">
        <v>789</v>
      </c>
      <c r="BE4" s="28" t="s">
        <v>790</v>
      </c>
      <c r="BF4" s="28" t="s">
        <v>791</v>
      </c>
      <c r="BG4" s="28" t="s">
        <v>792</v>
      </c>
      <c r="BH4" s="28" t="s">
        <v>793</v>
      </c>
      <c r="BI4" s="28" t="s">
        <v>794</v>
      </c>
      <c r="BJ4" s="28" t="s">
        <v>795</v>
      </c>
      <c r="BK4" s="28" t="s">
        <v>796</v>
      </c>
      <c r="BL4" s="28" t="s">
        <v>797</v>
      </c>
      <c r="BM4" s="28" t="s">
        <v>798</v>
      </c>
      <c r="BN4" s="28" t="s">
        <v>799</v>
      </c>
      <c r="BO4" s="28" t="s">
        <v>800</v>
      </c>
      <c r="BP4" s="28" t="s">
        <v>801</v>
      </c>
      <c r="BQ4" s="28" t="s">
        <v>802</v>
      </c>
      <c r="BR4" s="28" t="s">
        <v>803</v>
      </c>
      <c r="BS4" s="28" t="s">
        <v>804</v>
      </c>
      <c r="BT4" s="28" t="s">
        <v>805</v>
      </c>
      <c r="BU4" s="28" t="s">
        <v>806</v>
      </c>
      <c r="BV4" s="28" t="s">
        <v>807</v>
      </c>
      <c r="BW4" s="28" t="s">
        <v>808</v>
      </c>
      <c r="BX4" s="28" t="s">
        <v>809</v>
      </c>
      <c r="BY4" s="28" t="s">
        <v>810</v>
      </c>
      <c r="BZ4" s="28" t="s">
        <v>811</v>
      </c>
      <c r="CA4" s="28" t="s">
        <v>812</v>
      </c>
      <c r="CB4" s="28" t="s">
        <v>813</v>
      </c>
      <c r="CC4" s="28" t="s">
        <v>814</v>
      </c>
      <c r="CD4" s="28" t="s">
        <v>815</v>
      </c>
      <c r="CE4" s="28" t="s">
        <v>816</v>
      </c>
      <c r="CF4" s="28" t="s">
        <v>817</v>
      </c>
      <c r="CG4" s="28" t="s">
        <v>818</v>
      </c>
      <c r="CH4" s="28" t="s">
        <v>819</v>
      </c>
      <c r="CI4" s="28" t="s">
        <v>820</v>
      </c>
      <c r="CJ4" s="28" t="s">
        <v>821</v>
      </c>
      <c r="CK4" s="28" t="s">
        <v>822</v>
      </c>
      <c r="CL4" s="28" t="s">
        <v>823</v>
      </c>
      <c r="CM4" s="28" t="s">
        <v>824</v>
      </c>
      <c r="CN4" s="28" t="s">
        <v>825</v>
      </c>
      <c r="CO4" s="28" t="s">
        <v>826</v>
      </c>
      <c r="CP4" s="28" t="s">
        <v>827</v>
      </c>
      <c r="CQ4" s="28" t="s">
        <v>828</v>
      </c>
      <c r="CR4" s="28" t="s">
        <v>829</v>
      </c>
      <c r="CS4" s="28" t="s">
        <v>830</v>
      </c>
      <c r="CT4" s="28" t="s">
        <v>831</v>
      </c>
      <c r="CU4" s="28" t="s">
        <v>832</v>
      </c>
      <c r="CV4" s="28" t="s">
        <v>833</v>
      </c>
      <c r="CW4" s="28" t="s">
        <v>276</v>
      </c>
      <c r="CX4" s="28" t="s">
        <v>277</v>
      </c>
      <c r="CY4" s="28" t="s">
        <v>278</v>
      </c>
      <c r="CZ4" s="28" t="s">
        <v>834</v>
      </c>
      <c r="DA4" s="28" t="s">
        <v>835</v>
      </c>
      <c r="DB4" s="28" t="s">
        <v>836</v>
      </c>
      <c r="DC4" s="28" t="s">
        <v>837</v>
      </c>
      <c r="DD4" s="28" t="s">
        <v>838</v>
      </c>
      <c r="DE4" s="28" t="s">
        <v>839</v>
      </c>
      <c r="DF4" s="28" t="s">
        <v>840</v>
      </c>
      <c r="DG4" s="28" t="s">
        <v>841</v>
      </c>
      <c r="DH4" s="28" t="s">
        <v>842</v>
      </c>
      <c r="DI4" s="28" t="s">
        <v>843</v>
      </c>
      <c r="DJ4" s="28" t="s">
        <v>844</v>
      </c>
      <c r="DK4" s="28" t="s">
        <v>845</v>
      </c>
      <c r="DL4" s="28" t="s">
        <v>846</v>
      </c>
      <c r="DM4" s="28" t="s">
        <v>847</v>
      </c>
      <c r="DN4" s="28" t="s">
        <v>848</v>
      </c>
      <c r="DO4" s="28" t="s">
        <v>849</v>
      </c>
      <c r="DP4" s="28" t="s">
        <v>850</v>
      </c>
      <c r="DQ4" s="28" t="s">
        <v>851</v>
      </c>
      <c r="DR4" s="28" t="s">
        <v>852</v>
      </c>
      <c r="DS4" s="28" t="s">
        <v>853</v>
      </c>
      <c r="DT4" s="28" t="s">
        <v>854</v>
      </c>
      <c r="DU4" s="28" t="s">
        <v>855</v>
      </c>
      <c r="DV4" s="28" t="s">
        <v>856</v>
      </c>
      <c r="DW4" s="28" t="s">
        <v>857</v>
      </c>
      <c r="DX4" s="28" t="s">
        <v>858</v>
      </c>
      <c r="DY4" s="28" t="s">
        <v>859</v>
      </c>
      <c r="DZ4" s="28" t="s">
        <v>860</v>
      </c>
      <c r="EA4" s="28" t="s">
        <v>861</v>
      </c>
      <c r="EB4" s="28" t="s">
        <v>862</v>
      </c>
      <c r="EC4" s="28" t="s">
        <v>863</v>
      </c>
      <c r="ED4" s="28" t="s">
        <v>864</v>
      </c>
      <c r="EE4" s="28" t="s">
        <v>865</v>
      </c>
      <c r="EF4" s="28" t="s">
        <v>866</v>
      </c>
      <c r="EG4" s="28" t="s">
        <v>867</v>
      </c>
      <c r="EH4" s="28" t="s">
        <v>868</v>
      </c>
      <c r="EI4" s="28" t="s">
        <v>869</v>
      </c>
      <c r="EJ4" s="28" t="s">
        <v>870</v>
      </c>
      <c r="EK4" s="28" t="s">
        <v>871</v>
      </c>
      <c r="EL4" s="28" t="s">
        <v>872</v>
      </c>
      <c r="EM4" s="28" t="s">
        <v>873</v>
      </c>
      <c r="EN4" s="28" t="s">
        <v>874</v>
      </c>
      <c r="EO4" s="28" t="s">
        <v>875</v>
      </c>
      <c r="EP4" s="28" t="s">
        <v>876</v>
      </c>
    </row>
    <row r="5" spans="1:146" s="26" customFormat="1" x14ac:dyDescent="0.3">
      <c r="A5" s="33"/>
      <c r="B5" s="29" t="s">
        <v>604</v>
      </c>
      <c r="C5" s="29" t="s">
        <v>604</v>
      </c>
      <c r="D5" s="29" t="s">
        <v>604</v>
      </c>
      <c r="E5" s="29" t="s">
        <v>604</v>
      </c>
      <c r="F5" s="29" t="s">
        <v>604</v>
      </c>
      <c r="G5" s="29" t="s">
        <v>604</v>
      </c>
      <c r="H5" s="29" t="s">
        <v>604</v>
      </c>
      <c r="I5" s="29" t="s">
        <v>604</v>
      </c>
      <c r="J5" s="29" t="s">
        <v>604</v>
      </c>
      <c r="K5" s="29" t="s">
        <v>604</v>
      </c>
      <c r="L5" s="29" t="s">
        <v>604</v>
      </c>
      <c r="M5" s="29" t="s">
        <v>604</v>
      </c>
      <c r="N5" s="29" t="s">
        <v>604</v>
      </c>
      <c r="O5" s="29" t="s">
        <v>604</v>
      </c>
      <c r="P5" s="29" t="s">
        <v>604</v>
      </c>
      <c r="Q5" s="29" t="s">
        <v>604</v>
      </c>
      <c r="R5" s="29" t="s">
        <v>604</v>
      </c>
      <c r="S5" s="29" t="s">
        <v>604</v>
      </c>
      <c r="T5" s="29" t="s">
        <v>604</v>
      </c>
      <c r="U5" s="29" t="s">
        <v>604</v>
      </c>
      <c r="V5" s="29" t="s">
        <v>604</v>
      </c>
      <c r="W5" s="29" t="s">
        <v>604</v>
      </c>
      <c r="X5" s="29" t="s">
        <v>604</v>
      </c>
      <c r="Y5" s="29" t="s">
        <v>604</v>
      </c>
      <c r="Z5" s="29" t="s">
        <v>604</v>
      </c>
      <c r="AA5" s="29" t="s">
        <v>604</v>
      </c>
      <c r="AB5" s="29" t="s">
        <v>604</v>
      </c>
      <c r="AC5" s="29" t="s">
        <v>604</v>
      </c>
      <c r="AD5" s="29" t="s">
        <v>604</v>
      </c>
      <c r="AE5" s="29" t="s">
        <v>604</v>
      </c>
      <c r="AF5" s="29" t="s">
        <v>604</v>
      </c>
      <c r="AG5" s="29" t="s">
        <v>604</v>
      </c>
      <c r="AH5" s="29" t="s">
        <v>604</v>
      </c>
      <c r="AI5" s="29" t="s">
        <v>604</v>
      </c>
      <c r="AJ5" s="29" t="s">
        <v>604</v>
      </c>
      <c r="AK5" s="29" t="s">
        <v>604</v>
      </c>
      <c r="AL5" s="29" t="s">
        <v>604</v>
      </c>
      <c r="AM5" s="29" t="s">
        <v>604</v>
      </c>
      <c r="AN5" s="29" t="s">
        <v>604</v>
      </c>
      <c r="AO5" s="29" t="s">
        <v>604</v>
      </c>
      <c r="AP5" s="29" t="s">
        <v>604</v>
      </c>
      <c r="AQ5" s="29" t="s">
        <v>604</v>
      </c>
      <c r="AR5" s="29" t="s">
        <v>604</v>
      </c>
      <c r="AS5" s="29" t="s">
        <v>604</v>
      </c>
      <c r="AT5" s="29" t="s">
        <v>604</v>
      </c>
      <c r="AU5" s="29" t="s">
        <v>604</v>
      </c>
      <c r="AV5" s="29" t="s">
        <v>604</v>
      </c>
      <c r="AW5" s="29" t="s">
        <v>604</v>
      </c>
      <c r="AX5" s="29" t="s">
        <v>604</v>
      </c>
      <c r="AY5" s="29" t="s">
        <v>604</v>
      </c>
      <c r="AZ5" s="29" t="s">
        <v>604</v>
      </c>
      <c r="BA5" s="29" t="s">
        <v>604</v>
      </c>
      <c r="BB5" s="29" t="s">
        <v>604</v>
      </c>
      <c r="BC5" s="29" t="s">
        <v>604</v>
      </c>
      <c r="BD5" s="29" t="s">
        <v>604</v>
      </c>
      <c r="BE5" s="29" t="s">
        <v>604</v>
      </c>
      <c r="BF5" s="29" t="s">
        <v>604</v>
      </c>
      <c r="BG5" s="29" t="s">
        <v>604</v>
      </c>
      <c r="BH5" s="29" t="s">
        <v>604</v>
      </c>
      <c r="BI5" s="29" t="s">
        <v>604</v>
      </c>
      <c r="BJ5" s="29" t="s">
        <v>604</v>
      </c>
      <c r="BK5" s="29" t="s">
        <v>604</v>
      </c>
      <c r="BL5" s="29" t="s">
        <v>604</v>
      </c>
      <c r="BM5" s="29" t="s">
        <v>604</v>
      </c>
      <c r="BN5" s="29" t="s">
        <v>604</v>
      </c>
      <c r="BO5" s="29" t="s">
        <v>604</v>
      </c>
      <c r="BP5" s="29" t="s">
        <v>604</v>
      </c>
      <c r="BQ5" s="29" t="s">
        <v>604</v>
      </c>
      <c r="BR5" s="29" t="s">
        <v>604</v>
      </c>
      <c r="BS5" s="29" t="s">
        <v>605</v>
      </c>
      <c r="BT5" s="29" t="s">
        <v>605</v>
      </c>
      <c r="BU5" s="29" t="s">
        <v>605</v>
      </c>
      <c r="BV5" s="29" t="s">
        <v>605</v>
      </c>
      <c r="BW5" s="29" t="s">
        <v>605</v>
      </c>
      <c r="BX5" s="29" t="s">
        <v>605</v>
      </c>
      <c r="BY5" s="29" t="s">
        <v>605</v>
      </c>
      <c r="BZ5" s="29" t="s">
        <v>605</v>
      </c>
      <c r="CA5" s="29" t="s">
        <v>605</v>
      </c>
      <c r="CB5" s="29" t="s">
        <v>605</v>
      </c>
      <c r="CC5" s="29" t="s">
        <v>605</v>
      </c>
      <c r="CD5" s="29" t="s">
        <v>605</v>
      </c>
      <c r="CE5" s="29" t="s">
        <v>605</v>
      </c>
      <c r="CF5" s="29" t="s">
        <v>605</v>
      </c>
      <c r="CG5" s="29" t="s">
        <v>605</v>
      </c>
      <c r="CH5" s="29" t="s">
        <v>605</v>
      </c>
      <c r="CI5" s="29" t="s">
        <v>605</v>
      </c>
      <c r="CJ5" s="29" t="s">
        <v>605</v>
      </c>
      <c r="CK5" s="29" t="s">
        <v>605</v>
      </c>
      <c r="CL5" s="29" t="s">
        <v>605</v>
      </c>
      <c r="CM5" s="29" t="s">
        <v>605</v>
      </c>
      <c r="CN5" s="29" t="s">
        <v>605</v>
      </c>
      <c r="CO5" s="29" t="s">
        <v>605</v>
      </c>
      <c r="CP5" s="29" t="s">
        <v>605</v>
      </c>
      <c r="CQ5" s="29" t="s">
        <v>605</v>
      </c>
      <c r="CR5" s="29" t="s">
        <v>605</v>
      </c>
      <c r="CS5" s="29" t="s">
        <v>605</v>
      </c>
      <c r="CT5" s="29" t="s">
        <v>605</v>
      </c>
      <c r="CU5" s="29" t="s">
        <v>605</v>
      </c>
      <c r="CV5" s="29" t="s">
        <v>605</v>
      </c>
      <c r="CW5" s="29" t="s">
        <v>606</v>
      </c>
      <c r="CX5" s="29" t="s">
        <v>606</v>
      </c>
      <c r="CY5" s="29" t="s">
        <v>606</v>
      </c>
      <c r="CZ5" s="29" t="s">
        <v>606</v>
      </c>
      <c r="DA5" s="29" t="s">
        <v>606</v>
      </c>
      <c r="DB5" s="29" t="s">
        <v>606</v>
      </c>
      <c r="DC5" s="29" t="s">
        <v>606</v>
      </c>
      <c r="DD5" s="29" t="s">
        <v>606</v>
      </c>
      <c r="DE5" s="29" t="s">
        <v>606</v>
      </c>
      <c r="DF5" s="29" t="s">
        <v>606</v>
      </c>
      <c r="DG5" s="29" t="s">
        <v>606</v>
      </c>
      <c r="DH5" s="29" t="s">
        <v>606</v>
      </c>
      <c r="DI5" s="29" t="s">
        <v>606</v>
      </c>
      <c r="DJ5" s="29" t="s">
        <v>606</v>
      </c>
      <c r="DK5" s="29" t="s">
        <v>606</v>
      </c>
      <c r="DL5" s="29" t="s">
        <v>606</v>
      </c>
      <c r="DM5" s="29" t="s">
        <v>606</v>
      </c>
      <c r="DN5" s="29" t="s">
        <v>606</v>
      </c>
      <c r="DO5" s="29" t="s">
        <v>606</v>
      </c>
      <c r="DP5" s="29" t="s">
        <v>606</v>
      </c>
      <c r="DQ5" s="29" t="s">
        <v>606</v>
      </c>
      <c r="DR5" s="29" t="s">
        <v>606</v>
      </c>
      <c r="DS5" s="29" t="s">
        <v>606</v>
      </c>
      <c r="DT5" s="29" t="s">
        <v>606</v>
      </c>
      <c r="DU5" s="29" t="s">
        <v>606</v>
      </c>
      <c r="DV5" s="29" t="s">
        <v>606</v>
      </c>
      <c r="DW5" s="29" t="s">
        <v>606</v>
      </c>
      <c r="DX5" s="29" t="s">
        <v>606</v>
      </c>
      <c r="DY5" s="29" t="s">
        <v>606</v>
      </c>
      <c r="DZ5" s="29" t="s">
        <v>606</v>
      </c>
      <c r="EA5" s="29" t="s">
        <v>606</v>
      </c>
      <c r="EB5" s="29" t="s">
        <v>606</v>
      </c>
      <c r="EC5" s="29" t="s">
        <v>606</v>
      </c>
      <c r="ED5" s="29" t="s">
        <v>606</v>
      </c>
      <c r="EE5" s="29" t="s">
        <v>606</v>
      </c>
      <c r="EF5" s="29" t="s">
        <v>606</v>
      </c>
      <c r="EG5" s="29" t="s">
        <v>606</v>
      </c>
      <c r="EH5" s="29" t="s">
        <v>606</v>
      </c>
      <c r="EI5" s="29" t="s">
        <v>606</v>
      </c>
      <c r="EJ5" s="29" t="s">
        <v>606</v>
      </c>
      <c r="EK5" s="29" t="s">
        <v>606</v>
      </c>
      <c r="EL5" s="29" t="s">
        <v>606</v>
      </c>
      <c r="EM5" s="29" t="s">
        <v>606</v>
      </c>
      <c r="EN5" s="29" t="s">
        <v>606</v>
      </c>
      <c r="EO5" s="29" t="s">
        <v>606</v>
      </c>
      <c r="EP5" s="29" t="s">
        <v>606</v>
      </c>
    </row>
    <row r="6" spans="1:146" x14ac:dyDescent="0.3">
      <c r="A6" s="34" t="s">
        <v>161</v>
      </c>
      <c r="B6">
        <v>82</v>
      </c>
      <c r="C6">
        <v>80</v>
      </c>
      <c r="D6">
        <v>80</v>
      </c>
      <c r="E6">
        <v>86</v>
      </c>
      <c r="F6">
        <v>81</v>
      </c>
      <c r="G6">
        <v>80</v>
      </c>
      <c r="H6">
        <v>86</v>
      </c>
      <c r="I6">
        <v>81</v>
      </c>
      <c r="J6">
        <v>84</v>
      </c>
      <c r="K6">
        <v>87</v>
      </c>
      <c r="L6">
        <v>85</v>
      </c>
      <c r="M6">
        <v>84</v>
      </c>
      <c r="N6">
        <v>83</v>
      </c>
      <c r="O6">
        <v>85</v>
      </c>
      <c r="P6">
        <v>83</v>
      </c>
      <c r="Q6">
        <v>85</v>
      </c>
      <c r="R6">
        <v>83</v>
      </c>
      <c r="S6">
        <v>83</v>
      </c>
      <c r="T6">
        <v>84</v>
      </c>
      <c r="U6">
        <v>82</v>
      </c>
      <c r="V6">
        <v>80</v>
      </c>
      <c r="W6">
        <v>83</v>
      </c>
      <c r="X6">
        <v>84</v>
      </c>
      <c r="Y6">
        <v>85</v>
      </c>
      <c r="Z6">
        <v>83</v>
      </c>
      <c r="AA6">
        <v>83</v>
      </c>
      <c r="AB6">
        <v>85</v>
      </c>
      <c r="AC6">
        <v>85</v>
      </c>
      <c r="AD6">
        <v>80</v>
      </c>
      <c r="AE6">
        <v>84</v>
      </c>
      <c r="AF6">
        <v>83</v>
      </c>
      <c r="AG6">
        <v>77</v>
      </c>
      <c r="AH6">
        <v>74</v>
      </c>
      <c r="AI6">
        <v>74</v>
      </c>
      <c r="AJ6">
        <v>78</v>
      </c>
      <c r="AK6">
        <v>76</v>
      </c>
      <c r="AL6">
        <v>81</v>
      </c>
      <c r="AM6">
        <v>82</v>
      </c>
      <c r="AN6">
        <v>83</v>
      </c>
      <c r="AO6">
        <v>81</v>
      </c>
      <c r="AP6">
        <v>82</v>
      </c>
      <c r="AQ6">
        <v>83</v>
      </c>
      <c r="AR6">
        <v>80</v>
      </c>
      <c r="AS6">
        <v>82</v>
      </c>
      <c r="AT6">
        <v>81</v>
      </c>
      <c r="AU6">
        <v>83</v>
      </c>
      <c r="AV6">
        <v>82</v>
      </c>
      <c r="AW6">
        <v>82</v>
      </c>
      <c r="AX6">
        <v>83</v>
      </c>
      <c r="AY6">
        <v>81</v>
      </c>
      <c r="AZ6">
        <v>84</v>
      </c>
      <c r="BA6">
        <v>84</v>
      </c>
      <c r="BB6">
        <v>84</v>
      </c>
      <c r="BC6">
        <v>84</v>
      </c>
      <c r="BD6">
        <v>85</v>
      </c>
      <c r="BE6">
        <v>82</v>
      </c>
      <c r="BF6">
        <v>79</v>
      </c>
      <c r="BG6">
        <v>85</v>
      </c>
      <c r="BH6">
        <v>84</v>
      </c>
      <c r="BI6">
        <v>82</v>
      </c>
      <c r="BJ6">
        <v>86</v>
      </c>
      <c r="BK6">
        <v>81</v>
      </c>
      <c r="BL6">
        <v>84</v>
      </c>
      <c r="BM6">
        <v>83</v>
      </c>
      <c r="BN6">
        <v>83</v>
      </c>
      <c r="BO6">
        <v>82</v>
      </c>
      <c r="BP6">
        <v>86</v>
      </c>
      <c r="BQ6">
        <v>82</v>
      </c>
      <c r="BR6">
        <v>82</v>
      </c>
      <c r="BS6">
        <v>81</v>
      </c>
      <c r="BT6">
        <v>85</v>
      </c>
      <c r="BU6">
        <v>82</v>
      </c>
      <c r="BV6">
        <v>87</v>
      </c>
      <c r="BW6">
        <v>83</v>
      </c>
      <c r="BX6">
        <v>81</v>
      </c>
      <c r="BY6">
        <v>83</v>
      </c>
      <c r="BZ6">
        <v>84</v>
      </c>
      <c r="CA6">
        <v>82</v>
      </c>
      <c r="CB6">
        <v>86</v>
      </c>
      <c r="CC6">
        <v>84</v>
      </c>
      <c r="CD6">
        <v>83</v>
      </c>
      <c r="CE6">
        <v>82</v>
      </c>
      <c r="CF6">
        <v>86</v>
      </c>
      <c r="CG6">
        <v>80</v>
      </c>
      <c r="CH6">
        <v>83</v>
      </c>
      <c r="CI6">
        <v>86</v>
      </c>
      <c r="CJ6">
        <v>82</v>
      </c>
      <c r="CK6">
        <v>84</v>
      </c>
      <c r="CL6">
        <v>84</v>
      </c>
      <c r="CM6">
        <v>84</v>
      </c>
      <c r="CN6">
        <v>81</v>
      </c>
      <c r="CO6">
        <v>82</v>
      </c>
      <c r="CP6">
        <v>83</v>
      </c>
      <c r="CQ6">
        <v>84</v>
      </c>
      <c r="CR6">
        <v>82</v>
      </c>
      <c r="CS6">
        <v>83</v>
      </c>
      <c r="CT6">
        <v>83</v>
      </c>
      <c r="CU6">
        <v>86</v>
      </c>
      <c r="CV6">
        <v>85</v>
      </c>
      <c r="CW6">
        <v>87</v>
      </c>
      <c r="CX6">
        <v>84</v>
      </c>
      <c r="CY6">
        <v>84</v>
      </c>
      <c r="CZ6">
        <v>84</v>
      </c>
      <c r="DA6">
        <v>81</v>
      </c>
      <c r="DB6">
        <v>82</v>
      </c>
      <c r="DC6">
        <v>79</v>
      </c>
      <c r="DD6">
        <v>82</v>
      </c>
      <c r="DE6">
        <v>85</v>
      </c>
      <c r="DF6">
        <v>82</v>
      </c>
      <c r="DG6">
        <v>83</v>
      </c>
      <c r="DH6">
        <v>83</v>
      </c>
      <c r="DI6">
        <v>86</v>
      </c>
      <c r="DJ6">
        <v>84</v>
      </c>
      <c r="DK6">
        <v>81</v>
      </c>
      <c r="DL6">
        <v>82</v>
      </c>
      <c r="DM6">
        <v>83</v>
      </c>
      <c r="DN6">
        <v>85</v>
      </c>
      <c r="DO6">
        <v>84</v>
      </c>
      <c r="DP6">
        <v>84</v>
      </c>
      <c r="DQ6">
        <v>84</v>
      </c>
      <c r="DR6">
        <v>82</v>
      </c>
      <c r="DS6">
        <v>80</v>
      </c>
      <c r="DT6">
        <v>81</v>
      </c>
      <c r="DU6">
        <v>85</v>
      </c>
      <c r="DV6">
        <v>82</v>
      </c>
      <c r="DW6">
        <v>81</v>
      </c>
      <c r="DX6">
        <v>86</v>
      </c>
      <c r="DY6">
        <v>84</v>
      </c>
      <c r="DZ6">
        <v>82</v>
      </c>
      <c r="EA6">
        <v>80</v>
      </c>
      <c r="EB6">
        <v>80</v>
      </c>
      <c r="EC6">
        <v>84</v>
      </c>
      <c r="ED6">
        <v>83</v>
      </c>
      <c r="EE6">
        <v>84</v>
      </c>
      <c r="EF6">
        <v>80</v>
      </c>
      <c r="EG6">
        <v>83</v>
      </c>
      <c r="EH6">
        <v>82</v>
      </c>
      <c r="EI6">
        <v>83</v>
      </c>
      <c r="EJ6">
        <v>82</v>
      </c>
      <c r="EK6">
        <v>83</v>
      </c>
      <c r="EL6">
        <v>84</v>
      </c>
      <c r="EM6">
        <v>84</v>
      </c>
      <c r="EN6">
        <v>83</v>
      </c>
      <c r="EO6">
        <v>81</v>
      </c>
      <c r="EP6">
        <v>84</v>
      </c>
    </row>
    <row r="7" spans="1:146" x14ac:dyDescent="0.3">
      <c r="A7" s="35" t="s">
        <v>162</v>
      </c>
      <c r="B7">
        <v>130</v>
      </c>
      <c r="C7">
        <v>151</v>
      </c>
      <c r="D7">
        <v>167</v>
      </c>
      <c r="E7">
        <v>151</v>
      </c>
      <c r="F7">
        <v>140</v>
      </c>
      <c r="G7">
        <v>137</v>
      </c>
      <c r="H7">
        <v>137</v>
      </c>
      <c r="I7">
        <v>147</v>
      </c>
      <c r="J7">
        <v>126</v>
      </c>
      <c r="K7">
        <v>141</v>
      </c>
      <c r="L7">
        <v>150</v>
      </c>
      <c r="M7">
        <v>122</v>
      </c>
      <c r="N7">
        <v>150</v>
      </c>
      <c r="O7">
        <v>137</v>
      </c>
      <c r="P7">
        <v>137</v>
      </c>
      <c r="Q7">
        <v>140</v>
      </c>
      <c r="R7">
        <v>146</v>
      </c>
      <c r="S7">
        <v>134</v>
      </c>
      <c r="T7">
        <v>141</v>
      </c>
      <c r="U7">
        <v>133</v>
      </c>
      <c r="V7">
        <v>152</v>
      </c>
      <c r="W7">
        <v>139</v>
      </c>
      <c r="X7">
        <v>160</v>
      </c>
      <c r="Y7">
        <v>148</v>
      </c>
      <c r="Z7">
        <v>139</v>
      </c>
      <c r="AA7">
        <v>144</v>
      </c>
      <c r="AB7">
        <v>140</v>
      </c>
      <c r="AC7">
        <v>141</v>
      </c>
      <c r="AD7">
        <v>123</v>
      </c>
      <c r="AE7">
        <v>143</v>
      </c>
      <c r="AF7">
        <v>131</v>
      </c>
      <c r="AG7">
        <v>167</v>
      </c>
      <c r="AH7">
        <v>183</v>
      </c>
      <c r="AI7">
        <v>189</v>
      </c>
      <c r="AJ7">
        <v>180</v>
      </c>
      <c r="AK7">
        <v>156</v>
      </c>
      <c r="AL7">
        <v>131</v>
      </c>
      <c r="AM7">
        <v>147</v>
      </c>
      <c r="AN7">
        <v>137</v>
      </c>
      <c r="AO7">
        <v>157</v>
      </c>
      <c r="AP7">
        <v>137</v>
      </c>
      <c r="AQ7">
        <v>151</v>
      </c>
      <c r="AR7">
        <v>131</v>
      </c>
      <c r="AS7">
        <v>146</v>
      </c>
      <c r="AT7">
        <v>143</v>
      </c>
      <c r="AU7">
        <v>136</v>
      </c>
      <c r="AV7">
        <v>140</v>
      </c>
      <c r="AW7">
        <v>139</v>
      </c>
      <c r="AX7">
        <v>164</v>
      </c>
      <c r="AY7">
        <v>140</v>
      </c>
      <c r="AZ7">
        <v>146</v>
      </c>
      <c r="BA7">
        <v>128</v>
      </c>
      <c r="BB7">
        <v>139</v>
      </c>
      <c r="BC7">
        <v>115</v>
      </c>
      <c r="BD7">
        <v>144</v>
      </c>
      <c r="BE7">
        <v>126</v>
      </c>
      <c r="BF7">
        <v>140</v>
      </c>
      <c r="BG7">
        <v>152</v>
      </c>
      <c r="BH7">
        <v>141</v>
      </c>
      <c r="BI7">
        <v>133</v>
      </c>
      <c r="BJ7">
        <v>152</v>
      </c>
      <c r="BK7">
        <v>144</v>
      </c>
      <c r="BL7">
        <v>150</v>
      </c>
      <c r="BM7">
        <v>136</v>
      </c>
      <c r="BN7">
        <v>123</v>
      </c>
      <c r="BO7">
        <v>128</v>
      </c>
      <c r="BP7">
        <v>146</v>
      </c>
      <c r="BQ7">
        <v>136</v>
      </c>
      <c r="BR7">
        <v>155</v>
      </c>
      <c r="BS7">
        <v>134</v>
      </c>
      <c r="BT7">
        <v>144</v>
      </c>
      <c r="BU7">
        <v>147</v>
      </c>
      <c r="BV7">
        <v>130</v>
      </c>
      <c r="BW7">
        <v>146</v>
      </c>
      <c r="BX7">
        <v>161</v>
      </c>
      <c r="BY7">
        <v>146</v>
      </c>
      <c r="BZ7">
        <v>140</v>
      </c>
      <c r="CA7">
        <v>159</v>
      </c>
      <c r="CB7">
        <v>136</v>
      </c>
      <c r="CC7">
        <v>148</v>
      </c>
      <c r="CD7">
        <v>146</v>
      </c>
      <c r="CE7">
        <v>164</v>
      </c>
      <c r="CF7">
        <v>148</v>
      </c>
      <c r="CG7">
        <v>131</v>
      </c>
      <c r="CH7">
        <v>154</v>
      </c>
      <c r="CI7">
        <v>128</v>
      </c>
      <c r="CJ7">
        <v>146</v>
      </c>
      <c r="CK7">
        <v>137</v>
      </c>
      <c r="CL7">
        <v>144</v>
      </c>
      <c r="CM7">
        <v>154</v>
      </c>
      <c r="CN7">
        <v>140</v>
      </c>
      <c r="CO7">
        <v>146</v>
      </c>
      <c r="CP7">
        <v>155</v>
      </c>
      <c r="CQ7">
        <v>152</v>
      </c>
      <c r="CR7">
        <v>157</v>
      </c>
      <c r="CS7">
        <v>151</v>
      </c>
      <c r="CT7">
        <v>143</v>
      </c>
      <c r="CU7">
        <v>147</v>
      </c>
      <c r="CV7">
        <v>155</v>
      </c>
      <c r="CW7">
        <v>115</v>
      </c>
      <c r="CX7">
        <v>140</v>
      </c>
      <c r="CY7">
        <v>133</v>
      </c>
      <c r="CZ7">
        <v>130</v>
      </c>
      <c r="DA7">
        <v>137</v>
      </c>
      <c r="DB7">
        <v>141</v>
      </c>
      <c r="DC7">
        <v>162</v>
      </c>
      <c r="DD7">
        <v>125</v>
      </c>
      <c r="DE7">
        <v>159</v>
      </c>
      <c r="DF7">
        <v>143</v>
      </c>
      <c r="DG7">
        <v>141</v>
      </c>
      <c r="DH7">
        <v>138</v>
      </c>
      <c r="DI7">
        <v>141</v>
      </c>
      <c r="DJ7">
        <v>131</v>
      </c>
      <c r="DK7">
        <v>138</v>
      </c>
      <c r="DL7">
        <v>159</v>
      </c>
      <c r="DM7">
        <v>134</v>
      </c>
      <c r="DN7">
        <v>145</v>
      </c>
      <c r="DO7">
        <v>131</v>
      </c>
      <c r="DP7">
        <v>143</v>
      </c>
      <c r="DQ7">
        <v>152</v>
      </c>
      <c r="DR7">
        <v>126</v>
      </c>
      <c r="DS7">
        <v>146</v>
      </c>
      <c r="DT7">
        <v>123</v>
      </c>
      <c r="DU7">
        <v>131</v>
      </c>
      <c r="DV7">
        <v>138</v>
      </c>
      <c r="DW7">
        <v>152</v>
      </c>
      <c r="DX7">
        <v>143</v>
      </c>
      <c r="DY7">
        <v>131</v>
      </c>
      <c r="DZ7">
        <v>141</v>
      </c>
      <c r="EA7">
        <v>145</v>
      </c>
      <c r="EB7">
        <v>148</v>
      </c>
      <c r="EC7">
        <v>143</v>
      </c>
      <c r="ED7">
        <v>137</v>
      </c>
      <c r="EE7">
        <v>128</v>
      </c>
      <c r="EF7">
        <v>137</v>
      </c>
      <c r="EG7">
        <v>133</v>
      </c>
      <c r="EH7">
        <v>143</v>
      </c>
      <c r="EI7">
        <v>134</v>
      </c>
      <c r="EJ7">
        <v>125</v>
      </c>
      <c r="EK7">
        <v>138</v>
      </c>
      <c r="EL7">
        <v>140</v>
      </c>
      <c r="EM7">
        <v>151</v>
      </c>
      <c r="EN7">
        <v>159</v>
      </c>
      <c r="EO7">
        <v>126</v>
      </c>
      <c r="EP7">
        <v>145</v>
      </c>
    </row>
    <row r="8" spans="1:146" x14ac:dyDescent="0.3">
      <c r="A8" s="35" t="s">
        <v>191</v>
      </c>
      <c r="B8">
        <v>449</v>
      </c>
      <c r="C8">
        <v>436</v>
      </c>
      <c r="D8">
        <v>440</v>
      </c>
      <c r="E8">
        <v>471</v>
      </c>
      <c r="F8">
        <v>381</v>
      </c>
      <c r="G8">
        <v>440</v>
      </c>
      <c r="H8">
        <v>492</v>
      </c>
      <c r="I8">
        <v>508</v>
      </c>
      <c r="J8">
        <v>445</v>
      </c>
      <c r="K8">
        <v>431</v>
      </c>
      <c r="L8">
        <v>454</v>
      </c>
      <c r="M8">
        <v>421</v>
      </c>
      <c r="N8">
        <v>381</v>
      </c>
      <c r="O8">
        <v>376</v>
      </c>
      <c r="P8">
        <v>426</v>
      </c>
      <c r="Q8">
        <v>436</v>
      </c>
      <c r="R8">
        <v>484</v>
      </c>
      <c r="S8">
        <v>440</v>
      </c>
      <c r="T8">
        <v>440</v>
      </c>
      <c r="U8">
        <v>467</v>
      </c>
      <c r="V8">
        <v>412</v>
      </c>
      <c r="W8">
        <v>440</v>
      </c>
      <c r="X8">
        <v>376</v>
      </c>
      <c r="Y8">
        <v>449</v>
      </c>
      <c r="Z8">
        <v>397</v>
      </c>
      <c r="AA8">
        <v>458</v>
      </c>
      <c r="AB8">
        <v>402</v>
      </c>
      <c r="AC8">
        <v>370</v>
      </c>
      <c r="AD8">
        <v>445</v>
      </c>
      <c r="AE8">
        <v>421</v>
      </c>
      <c r="AF8">
        <v>445</v>
      </c>
      <c r="AG8">
        <v>445</v>
      </c>
      <c r="AH8">
        <v>412</v>
      </c>
      <c r="AI8">
        <v>445</v>
      </c>
      <c r="AJ8">
        <v>479</v>
      </c>
      <c r="AK8">
        <v>500</v>
      </c>
      <c r="AL8">
        <v>445</v>
      </c>
      <c r="AM8">
        <v>426</v>
      </c>
      <c r="AN8">
        <v>453</v>
      </c>
      <c r="AO8">
        <v>440</v>
      </c>
      <c r="AP8">
        <v>402</v>
      </c>
      <c r="AQ8">
        <v>397</v>
      </c>
      <c r="AR8">
        <v>458</v>
      </c>
      <c r="AS8">
        <v>412</v>
      </c>
      <c r="AT8">
        <v>426</v>
      </c>
      <c r="AU8">
        <v>421</v>
      </c>
      <c r="AV8">
        <v>467</v>
      </c>
      <c r="AW8">
        <v>435</v>
      </c>
      <c r="AX8">
        <v>402</v>
      </c>
      <c r="AY8">
        <v>458</v>
      </c>
      <c r="AZ8">
        <v>435</v>
      </c>
      <c r="BA8">
        <v>500</v>
      </c>
      <c r="BB8">
        <v>445</v>
      </c>
      <c r="BC8">
        <v>445</v>
      </c>
      <c r="BD8">
        <v>462</v>
      </c>
      <c r="BE8">
        <v>492</v>
      </c>
      <c r="BF8">
        <v>440</v>
      </c>
      <c r="BG8">
        <v>370</v>
      </c>
      <c r="BH8">
        <v>412</v>
      </c>
      <c r="BI8">
        <v>407</v>
      </c>
      <c r="BJ8">
        <v>421</v>
      </c>
      <c r="BK8">
        <v>412</v>
      </c>
      <c r="BL8">
        <v>407</v>
      </c>
      <c r="BM8">
        <v>449</v>
      </c>
      <c r="BN8">
        <v>471</v>
      </c>
      <c r="BO8">
        <v>431</v>
      </c>
      <c r="BP8">
        <v>386</v>
      </c>
      <c r="BQ8">
        <v>462</v>
      </c>
      <c r="BR8">
        <v>402</v>
      </c>
      <c r="BS8">
        <v>431</v>
      </c>
      <c r="BT8">
        <v>454</v>
      </c>
      <c r="BU8">
        <v>397</v>
      </c>
      <c r="BV8">
        <v>471</v>
      </c>
      <c r="BW8">
        <v>488</v>
      </c>
      <c r="BX8">
        <v>397</v>
      </c>
      <c r="BY8">
        <v>535</v>
      </c>
      <c r="BZ8">
        <v>488</v>
      </c>
      <c r="CA8">
        <v>421</v>
      </c>
      <c r="CB8">
        <v>543</v>
      </c>
      <c r="CC8">
        <v>543</v>
      </c>
      <c r="CD8">
        <v>467</v>
      </c>
      <c r="CE8">
        <v>467</v>
      </c>
      <c r="CF8">
        <v>496</v>
      </c>
      <c r="CG8">
        <v>458</v>
      </c>
      <c r="CH8">
        <v>440</v>
      </c>
      <c r="CI8">
        <v>484</v>
      </c>
      <c r="CJ8">
        <v>500</v>
      </c>
      <c r="CK8">
        <v>445</v>
      </c>
      <c r="CL8">
        <v>500</v>
      </c>
      <c r="CM8">
        <v>462</v>
      </c>
      <c r="CN8">
        <v>484</v>
      </c>
      <c r="CO8">
        <v>445</v>
      </c>
      <c r="CP8">
        <v>444</v>
      </c>
      <c r="CQ8">
        <v>475</v>
      </c>
      <c r="CR8">
        <v>453</v>
      </c>
      <c r="CS8">
        <v>504</v>
      </c>
      <c r="CT8">
        <v>488</v>
      </c>
      <c r="CU8">
        <v>458</v>
      </c>
      <c r="CV8">
        <v>467</v>
      </c>
      <c r="CW8">
        <v>467</v>
      </c>
      <c r="CX8">
        <v>458</v>
      </c>
      <c r="CY8">
        <v>435</v>
      </c>
      <c r="CZ8">
        <v>435</v>
      </c>
      <c r="DA8">
        <v>431</v>
      </c>
      <c r="DB8">
        <v>462</v>
      </c>
      <c r="DC8">
        <v>484</v>
      </c>
      <c r="DD8">
        <v>376</v>
      </c>
      <c r="DE8">
        <v>440</v>
      </c>
      <c r="DF8">
        <v>431</v>
      </c>
      <c r="DG8">
        <v>370</v>
      </c>
      <c r="DH8">
        <v>381</v>
      </c>
      <c r="DI8">
        <v>421</v>
      </c>
      <c r="DJ8">
        <v>426</v>
      </c>
      <c r="DK8">
        <v>411</v>
      </c>
      <c r="DL8">
        <v>488</v>
      </c>
      <c r="DM8">
        <v>467</v>
      </c>
      <c r="DN8">
        <v>391</v>
      </c>
      <c r="DO8">
        <v>431</v>
      </c>
      <c r="DP8">
        <v>412</v>
      </c>
      <c r="DQ8">
        <v>488</v>
      </c>
      <c r="DR8">
        <v>431</v>
      </c>
      <c r="DS8">
        <v>488</v>
      </c>
      <c r="DT8">
        <v>386</v>
      </c>
      <c r="DU8">
        <v>449</v>
      </c>
      <c r="DV8">
        <v>440</v>
      </c>
      <c r="DW8">
        <v>402</v>
      </c>
      <c r="DX8">
        <v>426</v>
      </c>
      <c r="DY8">
        <v>462</v>
      </c>
      <c r="DZ8">
        <v>462</v>
      </c>
      <c r="EA8">
        <v>381</v>
      </c>
      <c r="EB8">
        <v>444</v>
      </c>
      <c r="EC8">
        <v>426</v>
      </c>
      <c r="ED8">
        <v>426</v>
      </c>
      <c r="EE8">
        <v>402</v>
      </c>
      <c r="EF8">
        <v>475</v>
      </c>
      <c r="EG8">
        <v>431</v>
      </c>
      <c r="EH8">
        <v>396</v>
      </c>
      <c r="EI8">
        <v>381</v>
      </c>
      <c r="EJ8">
        <v>444</v>
      </c>
      <c r="EK8">
        <v>496</v>
      </c>
      <c r="EL8">
        <v>402</v>
      </c>
      <c r="EM8">
        <v>483</v>
      </c>
      <c r="EN8">
        <v>421</v>
      </c>
      <c r="EO8">
        <v>440</v>
      </c>
      <c r="EP8">
        <v>421</v>
      </c>
    </row>
    <row r="9" spans="1:146" x14ac:dyDescent="0.3">
      <c r="A9" s="35" t="s">
        <v>164</v>
      </c>
      <c r="B9">
        <v>369</v>
      </c>
      <c r="C9">
        <v>338</v>
      </c>
      <c r="D9">
        <v>369</v>
      </c>
      <c r="E9">
        <v>387</v>
      </c>
      <c r="F9">
        <v>392</v>
      </c>
      <c r="G9">
        <v>409</v>
      </c>
      <c r="H9">
        <v>351</v>
      </c>
      <c r="I9">
        <v>392</v>
      </c>
      <c r="J9">
        <v>363</v>
      </c>
      <c r="K9">
        <v>351</v>
      </c>
      <c r="L9">
        <v>369</v>
      </c>
      <c r="M9">
        <v>345</v>
      </c>
      <c r="N9">
        <v>375</v>
      </c>
      <c r="O9">
        <v>357</v>
      </c>
      <c r="P9">
        <v>325</v>
      </c>
      <c r="Q9">
        <v>332</v>
      </c>
      <c r="R9">
        <v>345</v>
      </c>
      <c r="S9">
        <v>409</v>
      </c>
      <c r="T9">
        <v>311</v>
      </c>
      <c r="U9">
        <v>398</v>
      </c>
      <c r="V9">
        <v>414</v>
      </c>
      <c r="W9">
        <v>381</v>
      </c>
      <c r="X9">
        <v>357</v>
      </c>
      <c r="Y9">
        <v>338</v>
      </c>
      <c r="Z9">
        <v>369</v>
      </c>
      <c r="AA9">
        <v>398</v>
      </c>
      <c r="AB9">
        <v>363</v>
      </c>
      <c r="AC9">
        <v>325</v>
      </c>
      <c r="AD9">
        <v>425</v>
      </c>
      <c r="AE9">
        <v>369</v>
      </c>
      <c r="AF9">
        <v>387</v>
      </c>
      <c r="AG9">
        <v>392</v>
      </c>
      <c r="AH9">
        <v>403</v>
      </c>
      <c r="AI9">
        <v>403</v>
      </c>
      <c r="AJ9">
        <v>450</v>
      </c>
      <c r="AK9">
        <v>450</v>
      </c>
      <c r="AL9">
        <v>332</v>
      </c>
      <c r="AM9">
        <v>357</v>
      </c>
      <c r="AN9">
        <v>351</v>
      </c>
      <c r="AO9">
        <v>338</v>
      </c>
      <c r="AP9">
        <v>345</v>
      </c>
      <c r="AQ9">
        <v>357</v>
      </c>
      <c r="AR9">
        <v>381</v>
      </c>
      <c r="AS9">
        <v>381</v>
      </c>
      <c r="AT9">
        <v>369</v>
      </c>
      <c r="AU9">
        <v>381</v>
      </c>
      <c r="AV9">
        <v>392</v>
      </c>
      <c r="AW9">
        <v>425</v>
      </c>
      <c r="AX9">
        <v>345</v>
      </c>
      <c r="AY9">
        <v>325</v>
      </c>
      <c r="AZ9">
        <v>304</v>
      </c>
      <c r="BA9">
        <v>351</v>
      </c>
      <c r="BB9">
        <v>351</v>
      </c>
      <c r="BC9">
        <v>351</v>
      </c>
      <c r="BD9">
        <v>357</v>
      </c>
      <c r="BE9">
        <v>375</v>
      </c>
      <c r="BF9">
        <v>351</v>
      </c>
      <c r="BG9">
        <v>351</v>
      </c>
      <c r="BH9">
        <v>311</v>
      </c>
      <c r="BI9">
        <v>325</v>
      </c>
      <c r="BJ9">
        <v>414</v>
      </c>
      <c r="BK9">
        <v>403</v>
      </c>
      <c r="BL9">
        <v>375</v>
      </c>
      <c r="BM9">
        <v>351</v>
      </c>
      <c r="BN9">
        <v>403</v>
      </c>
      <c r="BO9">
        <v>381</v>
      </c>
      <c r="BP9">
        <v>414</v>
      </c>
      <c r="BQ9">
        <v>414</v>
      </c>
      <c r="BR9">
        <v>387</v>
      </c>
      <c r="BS9">
        <v>403</v>
      </c>
      <c r="BT9">
        <v>392</v>
      </c>
      <c r="BU9">
        <v>363</v>
      </c>
      <c r="BV9">
        <v>375</v>
      </c>
      <c r="BW9">
        <v>351</v>
      </c>
      <c r="BX9">
        <v>464</v>
      </c>
      <c r="BY9">
        <v>419</v>
      </c>
      <c r="BZ9">
        <v>345</v>
      </c>
      <c r="CA9">
        <v>325</v>
      </c>
      <c r="CB9">
        <v>345</v>
      </c>
      <c r="CC9">
        <v>381</v>
      </c>
      <c r="CD9">
        <v>363</v>
      </c>
      <c r="CE9">
        <v>409</v>
      </c>
      <c r="CF9">
        <v>325</v>
      </c>
      <c r="CG9">
        <v>338</v>
      </c>
      <c r="CH9">
        <v>419</v>
      </c>
      <c r="CI9">
        <v>332</v>
      </c>
      <c r="CJ9">
        <v>392</v>
      </c>
      <c r="CK9">
        <v>345</v>
      </c>
      <c r="CL9">
        <v>297</v>
      </c>
      <c r="CM9">
        <v>398</v>
      </c>
      <c r="CN9">
        <v>387</v>
      </c>
      <c r="CO9">
        <v>369</v>
      </c>
      <c r="CP9">
        <v>435</v>
      </c>
      <c r="CQ9">
        <v>414</v>
      </c>
      <c r="CR9">
        <v>338</v>
      </c>
      <c r="CS9">
        <v>392</v>
      </c>
      <c r="CT9">
        <v>311</v>
      </c>
      <c r="CU9">
        <v>351</v>
      </c>
      <c r="CV9">
        <v>381</v>
      </c>
      <c r="CW9">
        <v>338</v>
      </c>
      <c r="CX9">
        <v>345</v>
      </c>
      <c r="CY9">
        <v>345</v>
      </c>
      <c r="CZ9">
        <v>409</v>
      </c>
      <c r="DA9">
        <v>338</v>
      </c>
      <c r="DB9">
        <v>363</v>
      </c>
      <c r="DC9">
        <v>311</v>
      </c>
      <c r="DD9">
        <v>351</v>
      </c>
      <c r="DE9">
        <v>248</v>
      </c>
      <c r="DF9">
        <v>414</v>
      </c>
      <c r="DG9">
        <v>425</v>
      </c>
      <c r="DH9">
        <v>351</v>
      </c>
      <c r="DI9">
        <v>387</v>
      </c>
      <c r="DJ9">
        <v>345</v>
      </c>
      <c r="DK9">
        <v>419</v>
      </c>
      <c r="DL9">
        <v>375</v>
      </c>
      <c r="DM9">
        <v>381</v>
      </c>
      <c r="DN9">
        <v>414</v>
      </c>
      <c r="DO9">
        <v>357</v>
      </c>
      <c r="DP9">
        <v>369</v>
      </c>
      <c r="DQ9">
        <v>369</v>
      </c>
      <c r="DR9">
        <v>351</v>
      </c>
      <c r="DS9">
        <v>345</v>
      </c>
      <c r="DT9">
        <v>363</v>
      </c>
      <c r="DU9">
        <v>331</v>
      </c>
      <c r="DV9">
        <v>304</v>
      </c>
      <c r="DW9">
        <v>363</v>
      </c>
      <c r="DX9">
        <v>357</v>
      </c>
      <c r="DY9">
        <v>357</v>
      </c>
      <c r="DZ9">
        <v>381</v>
      </c>
      <c r="EA9">
        <v>318</v>
      </c>
      <c r="EB9">
        <v>332</v>
      </c>
      <c r="EC9">
        <v>357</v>
      </c>
      <c r="ED9">
        <v>344</v>
      </c>
      <c r="EE9">
        <v>369</v>
      </c>
      <c r="EF9">
        <v>345</v>
      </c>
      <c r="EG9">
        <v>325</v>
      </c>
      <c r="EH9">
        <v>357</v>
      </c>
      <c r="EI9">
        <v>304</v>
      </c>
      <c r="EJ9">
        <v>318</v>
      </c>
      <c r="EK9">
        <v>387</v>
      </c>
      <c r="EL9">
        <v>375</v>
      </c>
      <c r="EM9">
        <v>369</v>
      </c>
      <c r="EN9">
        <v>344</v>
      </c>
      <c r="EO9">
        <v>304</v>
      </c>
      <c r="EP9">
        <v>344</v>
      </c>
    </row>
    <row r="10" spans="1:146" x14ac:dyDescent="0.3">
      <c r="A10" s="35" t="s">
        <v>165</v>
      </c>
      <c r="B10">
        <v>97</v>
      </c>
      <c r="C10">
        <v>102</v>
      </c>
      <c r="D10">
        <v>98</v>
      </c>
      <c r="E10">
        <v>97</v>
      </c>
      <c r="F10">
        <v>97</v>
      </c>
      <c r="G10">
        <v>95</v>
      </c>
      <c r="H10">
        <v>94</v>
      </c>
      <c r="I10">
        <v>99</v>
      </c>
      <c r="J10">
        <v>98</v>
      </c>
      <c r="K10">
        <v>98</v>
      </c>
      <c r="L10">
        <v>99</v>
      </c>
      <c r="M10">
        <v>97</v>
      </c>
      <c r="N10">
        <v>96</v>
      </c>
      <c r="O10">
        <v>99</v>
      </c>
      <c r="P10">
        <v>95</v>
      </c>
      <c r="Q10">
        <v>98</v>
      </c>
      <c r="R10">
        <v>98</v>
      </c>
      <c r="S10">
        <v>100</v>
      </c>
      <c r="T10">
        <v>96</v>
      </c>
      <c r="U10">
        <v>95</v>
      </c>
      <c r="V10">
        <v>94</v>
      </c>
      <c r="W10">
        <v>100</v>
      </c>
      <c r="X10">
        <v>100</v>
      </c>
      <c r="Y10">
        <v>100</v>
      </c>
      <c r="Z10">
        <v>97</v>
      </c>
      <c r="AA10">
        <v>101</v>
      </c>
      <c r="AB10">
        <v>101</v>
      </c>
      <c r="AC10">
        <v>96</v>
      </c>
      <c r="AD10">
        <v>98</v>
      </c>
      <c r="AE10">
        <v>99</v>
      </c>
      <c r="AF10">
        <v>97</v>
      </c>
      <c r="AG10">
        <v>122</v>
      </c>
      <c r="AH10">
        <v>115</v>
      </c>
      <c r="AI10">
        <v>118</v>
      </c>
      <c r="AJ10">
        <v>114</v>
      </c>
      <c r="AK10">
        <v>114</v>
      </c>
      <c r="AL10">
        <v>101</v>
      </c>
      <c r="AM10">
        <v>97</v>
      </c>
      <c r="AN10">
        <v>97</v>
      </c>
      <c r="AO10">
        <v>100</v>
      </c>
      <c r="AP10">
        <v>100</v>
      </c>
      <c r="AQ10">
        <v>99</v>
      </c>
      <c r="AR10">
        <v>96</v>
      </c>
      <c r="AS10">
        <v>98</v>
      </c>
      <c r="AT10">
        <v>100</v>
      </c>
      <c r="AU10">
        <v>96</v>
      </c>
      <c r="AV10">
        <v>101</v>
      </c>
      <c r="AW10">
        <v>98</v>
      </c>
      <c r="AX10">
        <v>98</v>
      </c>
      <c r="AY10">
        <v>97</v>
      </c>
      <c r="AZ10">
        <v>100</v>
      </c>
      <c r="BA10">
        <v>96</v>
      </c>
      <c r="BB10">
        <v>102</v>
      </c>
      <c r="BC10">
        <v>100</v>
      </c>
      <c r="BD10">
        <v>94</v>
      </c>
      <c r="BE10">
        <v>97</v>
      </c>
      <c r="BF10">
        <v>97</v>
      </c>
      <c r="BG10">
        <v>98</v>
      </c>
      <c r="BH10">
        <v>97</v>
      </c>
      <c r="BI10">
        <v>102</v>
      </c>
      <c r="BJ10">
        <v>98</v>
      </c>
      <c r="BK10">
        <v>98</v>
      </c>
      <c r="BL10">
        <v>99</v>
      </c>
      <c r="BM10">
        <v>98</v>
      </c>
      <c r="BN10">
        <v>97</v>
      </c>
      <c r="BO10">
        <v>100</v>
      </c>
      <c r="BP10">
        <v>101</v>
      </c>
      <c r="BQ10">
        <v>95</v>
      </c>
      <c r="BR10">
        <v>98</v>
      </c>
      <c r="BS10">
        <v>95</v>
      </c>
      <c r="BT10">
        <v>94</v>
      </c>
      <c r="BU10">
        <v>95</v>
      </c>
      <c r="BV10">
        <v>97</v>
      </c>
      <c r="BW10">
        <v>98</v>
      </c>
      <c r="BX10">
        <v>95</v>
      </c>
      <c r="BY10">
        <v>96</v>
      </c>
      <c r="BZ10">
        <v>100</v>
      </c>
      <c r="CA10">
        <v>95</v>
      </c>
      <c r="CB10">
        <v>94</v>
      </c>
      <c r="CC10">
        <v>94</v>
      </c>
      <c r="CD10">
        <v>97</v>
      </c>
      <c r="CE10">
        <v>97</v>
      </c>
      <c r="CF10">
        <v>93</v>
      </c>
      <c r="CG10">
        <v>98</v>
      </c>
      <c r="CH10">
        <v>99</v>
      </c>
      <c r="CI10">
        <v>100</v>
      </c>
      <c r="CJ10">
        <v>99</v>
      </c>
      <c r="CK10">
        <v>100</v>
      </c>
      <c r="CL10">
        <v>95</v>
      </c>
      <c r="CM10">
        <v>99</v>
      </c>
      <c r="CN10">
        <v>96</v>
      </c>
      <c r="CO10">
        <v>97</v>
      </c>
      <c r="CP10">
        <v>97</v>
      </c>
      <c r="CQ10">
        <v>96</v>
      </c>
      <c r="CR10">
        <v>95</v>
      </c>
      <c r="CS10">
        <v>98</v>
      </c>
      <c r="CT10">
        <v>95</v>
      </c>
      <c r="CU10">
        <v>96</v>
      </c>
      <c r="CV10">
        <v>99</v>
      </c>
      <c r="CW10">
        <v>97</v>
      </c>
      <c r="CX10">
        <v>98</v>
      </c>
      <c r="CY10">
        <v>102</v>
      </c>
      <c r="CZ10">
        <v>97</v>
      </c>
      <c r="DA10">
        <v>103</v>
      </c>
      <c r="DB10">
        <v>101</v>
      </c>
      <c r="DC10">
        <v>100</v>
      </c>
      <c r="DD10">
        <v>95</v>
      </c>
      <c r="DE10">
        <v>101</v>
      </c>
      <c r="DF10">
        <v>95</v>
      </c>
      <c r="DG10">
        <v>102</v>
      </c>
      <c r="DH10">
        <v>101</v>
      </c>
      <c r="DI10">
        <v>99</v>
      </c>
      <c r="DJ10">
        <v>100</v>
      </c>
      <c r="DK10">
        <v>101</v>
      </c>
      <c r="DL10">
        <v>105</v>
      </c>
      <c r="DM10">
        <v>100</v>
      </c>
      <c r="DN10">
        <v>101</v>
      </c>
      <c r="DO10">
        <v>99</v>
      </c>
      <c r="DP10">
        <v>99</v>
      </c>
      <c r="DQ10">
        <v>100</v>
      </c>
      <c r="DR10">
        <v>97</v>
      </c>
      <c r="DS10">
        <v>100</v>
      </c>
      <c r="DT10">
        <v>98</v>
      </c>
      <c r="DU10">
        <v>99</v>
      </c>
      <c r="DV10">
        <v>97</v>
      </c>
      <c r="DW10">
        <v>101</v>
      </c>
      <c r="DX10">
        <v>100</v>
      </c>
      <c r="DY10">
        <v>96</v>
      </c>
      <c r="DZ10">
        <v>99</v>
      </c>
      <c r="EA10">
        <v>102</v>
      </c>
      <c r="EB10">
        <v>100</v>
      </c>
      <c r="EC10">
        <v>101</v>
      </c>
      <c r="ED10">
        <v>99</v>
      </c>
      <c r="EE10">
        <v>94</v>
      </c>
      <c r="EF10">
        <v>97</v>
      </c>
      <c r="EG10">
        <v>99</v>
      </c>
      <c r="EH10">
        <v>100</v>
      </c>
      <c r="EI10">
        <v>97</v>
      </c>
      <c r="EJ10">
        <v>99</v>
      </c>
      <c r="EK10">
        <v>106</v>
      </c>
      <c r="EL10">
        <v>103</v>
      </c>
      <c r="EM10">
        <v>100</v>
      </c>
      <c r="EN10">
        <v>103</v>
      </c>
      <c r="EO10">
        <v>98</v>
      </c>
      <c r="EP10">
        <v>101</v>
      </c>
    </row>
    <row r="11" spans="1:146" x14ac:dyDescent="0.3">
      <c r="A11" s="35" t="s">
        <v>166</v>
      </c>
      <c r="B11">
        <v>123</v>
      </c>
      <c r="C11">
        <v>137</v>
      </c>
      <c r="D11">
        <v>129</v>
      </c>
      <c r="E11">
        <v>140</v>
      </c>
      <c r="F11">
        <v>123</v>
      </c>
      <c r="G11">
        <v>131</v>
      </c>
      <c r="H11">
        <v>127</v>
      </c>
      <c r="I11">
        <v>116</v>
      </c>
      <c r="J11">
        <v>115</v>
      </c>
      <c r="K11">
        <v>113</v>
      </c>
      <c r="L11">
        <v>121</v>
      </c>
      <c r="M11">
        <v>116</v>
      </c>
      <c r="N11">
        <v>116</v>
      </c>
      <c r="O11">
        <v>133</v>
      </c>
      <c r="P11">
        <v>124</v>
      </c>
      <c r="Q11">
        <v>133</v>
      </c>
      <c r="R11">
        <v>120</v>
      </c>
      <c r="S11">
        <v>125</v>
      </c>
      <c r="T11">
        <v>127</v>
      </c>
      <c r="U11">
        <v>128</v>
      </c>
      <c r="V11">
        <v>118</v>
      </c>
      <c r="W11">
        <v>122</v>
      </c>
      <c r="X11">
        <v>127</v>
      </c>
      <c r="Y11">
        <v>118</v>
      </c>
      <c r="Z11">
        <v>106</v>
      </c>
      <c r="AA11">
        <v>135</v>
      </c>
      <c r="AB11">
        <v>136</v>
      </c>
      <c r="AC11">
        <v>136</v>
      </c>
      <c r="AD11">
        <v>136</v>
      </c>
      <c r="AE11">
        <v>129</v>
      </c>
      <c r="AF11">
        <v>134</v>
      </c>
      <c r="AG11">
        <v>107</v>
      </c>
      <c r="AH11">
        <v>112</v>
      </c>
      <c r="AI11">
        <v>103</v>
      </c>
      <c r="AJ11">
        <v>101</v>
      </c>
      <c r="AK11">
        <v>81</v>
      </c>
      <c r="AL11">
        <v>130</v>
      </c>
      <c r="AM11">
        <v>128</v>
      </c>
      <c r="AN11">
        <v>130</v>
      </c>
      <c r="AO11">
        <v>134</v>
      </c>
      <c r="AP11">
        <v>136</v>
      </c>
      <c r="AQ11">
        <v>127</v>
      </c>
      <c r="AR11">
        <v>132</v>
      </c>
      <c r="AS11">
        <v>127</v>
      </c>
      <c r="AT11">
        <v>125</v>
      </c>
      <c r="AU11">
        <v>123</v>
      </c>
      <c r="AV11">
        <v>121</v>
      </c>
      <c r="AW11">
        <v>125</v>
      </c>
      <c r="AX11">
        <v>126</v>
      </c>
      <c r="AY11">
        <v>134</v>
      </c>
      <c r="AZ11">
        <v>127</v>
      </c>
      <c r="BA11">
        <v>115</v>
      </c>
      <c r="BB11">
        <v>121</v>
      </c>
      <c r="BC11">
        <v>128</v>
      </c>
      <c r="BD11">
        <v>137</v>
      </c>
      <c r="BE11">
        <v>136</v>
      </c>
      <c r="BF11">
        <v>130</v>
      </c>
      <c r="BG11">
        <v>120</v>
      </c>
      <c r="BH11">
        <v>111</v>
      </c>
      <c r="BI11">
        <v>117</v>
      </c>
      <c r="BJ11">
        <v>132</v>
      </c>
      <c r="BK11">
        <v>125</v>
      </c>
      <c r="BL11">
        <v>125</v>
      </c>
      <c r="BM11">
        <v>124</v>
      </c>
      <c r="BN11">
        <v>117</v>
      </c>
      <c r="BO11">
        <v>123</v>
      </c>
      <c r="BP11">
        <v>124</v>
      </c>
      <c r="BQ11">
        <v>138</v>
      </c>
      <c r="BR11">
        <v>133</v>
      </c>
      <c r="BS11">
        <v>135</v>
      </c>
      <c r="BT11">
        <v>129</v>
      </c>
      <c r="BU11">
        <v>125</v>
      </c>
      <c r="BV11">
        <v>124</v>
      </c>
      <c r="BW11">
        <v>126</v>
      </c>
      <c r="BX11">
        <v>121</v>
      </c>
      <c r="BY11">
        <v>118</v>
      </c>
      <c r="BZ11">
        <v>122</v>
      </c>
      <c r="CA11">
        <v>121</v>
      </c>
      <c r="CB11">
        <v>127</v>
      </c>
      <c r="CC11">
        <v>119</v>
      </c>
      <c r="CD11">
        <v>112</v>
      </c>
      <c r="CE11">
        <v>126</v>
      </c>
      <c r="CF11">
        <v>117</v>
      </c>
      <c r="CG11">
        <v>128</v>
      </c>
      <c r="CH11">
        <v>125</v>
      </c>
      <c r="CI11">
        <v>123</v>
      </c>
      <c r="CJ11">
        <v>117</v>
      </c>
      <c r="CK11">
        <v>126</v>
      </c>
      <c r="CL11">
        <v>127</v>
      </c>
      <c r="CM11">
        <v>135</v>
      </c>
      <c r="CN11">
        <v>126</v>
      </c>
      <c r="CO11">
        <v>121</v>
      </c>
      <c r="CP11">
        <v>131</v>
      </c>
      <c r="CQ11">
        <v>117</v>
      </c>
      <c r="CR11">
        <v>115</v>
      </c>
      <c r="CS11">
        <v>115</v>
      </c>
      <c r="CT11">
        <v>121</v>
      </c>
      <c r="CU11">
        <v>118</v>
      </c>
      <c r="CV11">
        <v>130</v>
      </c>
      <c r="CW11">
        <v>114</v>
      </c>
      <c r="CX11">
        <v>119</v>
      </c>
      <c r="CY11">
        <v>103</v>
      </c>
      <c r="CZ11">
        <v>113</v>
      </c>
      <c r="DA11">
        <v>122</v>
      </c>
      <c r="DB11">
        <v>116</v>
      </c>
      <c r="DC11">
        <v>109</v>
      </c>
      <c r="DD11">
        <v>122</v>
      </c>
      <c r="DE11">
        <v>119</v>
      </c>
      <c r="DF11">
        <v>124</v>
      </c>
      <c r="DG11">
        <v>122</v>
      </c>
      <c r="DH11">
        <v>119</v>
      </c>
      <c r="DI11">
        <v>115</v>
      </c>
      <c r="DJ11">
        <v>119</v>
      </c>
      <c r="DK11">
        <v>121</v>
      </c>
      <c r="DL11">
        <v>121</v>
      </c>
      <c r="DM11">
        <v>121</v>
      </c>
      <c r="DN11">
        <v>115</v>
      </c>
      <c r="DO11">
        <v>123</v>
      </c>
      <c r="DP11">
        <v>119</v>
      </c>
      <c r="DQ11">
        <v>134</v>
      </c>
      <c r="DR11">
        <v>122</v>
      </c>
      <c r="DS11">
        <v>125</v>
      </c>
      <c r="DT11">
        <v>127</v>
      </c>
      <c r="DU11">
        <v>118</v>
      </c>
      <c r="DV11">
        <v>122</v>
      </c>
      <c r="DW11">
        <v>120</v>
      </c>
      <c r="DX11">
        <v>127</v>
      </c>
      <c r="DY11">
        <v>129</v>
      </c>
      <c r="DZ11">
        <v>120</v>
      </c>
      <c r="EA11">
        <v>120</v>
      </c>
      <c r="EB11">
        <v>117</v>
      </c>
      <c r="EC11">
        <v>113</v>
      </c>
      <c r="ED11">
        <v>121</v>
      </c>
      <c r="EE11">
        <v>128</v>
      </c>
      <c r="EF11">
        <v>127</v>
      </c>
      <c r="EG11">
        <v>122</v>
      </c>
      <c r="EH11">
        <v>130</v>
      </c>
      <c r="EI11">
        <v>127</v>
      </c>
      <c r="EJ11">
        <v>128</v>
      </c>
      <c r="EK11">
        <v>123</v>
      </c>
      <c r="EL11">
        <v>111</v>
      </c>
      <c r="EM11">
        <v>114</v>
      </c>
      <c r="EN11">
        <v>126</v>
      </c>
      <c r="EO11">
        <v>121</v>
      </c>
      <c r="EP11">
        <v>109</v>
      </c>
    </row>
    <row r="12" spans="1:146" x14ac:dyDescent="0.3">
      <c r="A12" s="35" t="s">
        <v>602</v>
      </c>
      <c r="B12">
        <v>78</v>
      </c>
      <c r="C12">
        <v>79</v>
      </c>
      <c r="D12">
        <v>79</v>
      </c>
      <c r="E12">
        <v>77</v>
      </c>
      <c r="F12">
        <v>81</v>
      </c>
      <c r="G12">
        <v>80</v>
      </c>
      <c r="H12">
        <v>82</v>
      </c>
      <c r="I12">
        <v>80</v>
      </c>
      <c r="J12">
        <v>76</v>
      </c>
      <c r="K12">
        <v>80</v>
      </c>
      <c r="L12">
        <v>80</v>
      </c>
      <c r="M12">
        <v>77</v>
      </c>
      <c r="N12">
        <v>79</v>
      </c>
      <c r="O12">
        <v>81</v>
      </c>
      <c r="P12">
        <v>78</v>
      </c>
      <c r="Q12">
        <v>86</v>
      </c>
      <c r="R12">
        <v>84</v>
      </c>
      <c r="S12">
        <v>77</v>
      </c>
      <c r="T12">
        <v>79</v>
      </c>
      <c r="U12">
        <v>82</v>
      </c>
      <c r="V12">
        <v>81</v>
      </c>
      <c r="W12">
        <v>83</v>
      </c>
      <c r="X12">
        <v>78</v>
      </c>
      <c r="Y12">
        <v>78</v>
      </c>
      <c r="Z12">
        <v>83</v>
      </c>
      <c r="AA12">
        <v>78</v>
      </c>
      <c r="AB12">
        <v>81</v>
      </c>
      <c r="AC12">
        <v>80</v>
      </c>
      <c r="AD12">
        <v>79</v>
      </c>
      <c r="AE12">
        <v>78</v>
      </c>
      <c r="AF12">
        <v>83</v>
      </c>
      <c r="AG12">
        <v>87</v>
      </c>
      <c r="AH12">
        <v>89</v>
      </c>
      <c r="AI12">
        <v>86</v>
      </c>
      <c r="AJ12">
        <v>91</v>
      </c>
      <c r="AK12">
        <v>90</v>
      </c>
      <c r="AL12">
        <v>78</v>
      </c>
      <c r="AM12">
        <v>81</v>
      </c>
      <c r="AN12">
        <v>80</v>
      </c>
      <c r="AO12">
        <v>82</v>
      </c>
      <c r="AP12">
        <v>81</v>
      </c>
      <c r="AQ12">
        <v>80</v>
      </c>
      <c r="AR12">
        <v>80</v>
      </c>
      <c r="AS12">
        <v>82</v>
      </c>
      <c r="AT12">
        <v>79</v>
      </c>
      <c r="AU12">
        <v>76</v>
      </c>
      <c r="AV12">
        <v>78</v>
      </c>
      <c r="AW12">
        <v>82</v>
      </c>
      <c r="AX12">
        <v>80</v>
      </c>
      <c r="AY12">
        <v>80</v>
      </c>
      <c r="AZ12">
        <v>81</v>
      </c>
      <c r="BA12">
        <v>81</v>
      </c>
      <c r="BB12">
        <v>80</v>
      </c>
      <c r="BC12">
        <v>78</v>
      </c>
      <c r="BD12">
        <v>84</v>
      </c>
      <c r="BE12">
        <v>79</v>
      </c>
      <c r="BF12">
        <v>79</v>
      </c>
      <c r="BG12">
        <v>79</v>
      </c>
      <c r="BH12">
        <v>77</v>
      </c>
      <c r="BI12">
        <v>77</v>
      </c>
      <c r="BJ12">
        <v>82</v>
      </c>
      <c r="BK12">
        <v>81</v>
      </c>
      <c r="BL12">
        <v>76</v>
      </c>
      <c r="BM12">
        <v>80</v>
      </c>
      <c r="BN12">
        <v>81</v>
      </c>
      <c r="BO12">
        <v>76</v>
      </c>
      <c r="BP12">
        <v>77</v>
      </c>
      <c r="BQ12">
        <v>80</v>
      </c>
      <c r="BR12">
        <v>81</v>
      </c>
      <c r="BS12">
        <v>82</v>
      </c>
      <c r="BT12">
        <v>80</v>
      </c>
      <c r="BU12">
        <v>80</v>
      </c>
      <c r="BV12">
        <v>80</v>
      </c>
      <c r="BW12">
        <v>79</v>
      </c>
      <c r="BX12">
        <v>81</v>
      </c>
      <c r="BY12">
        <v>80</v>
      </c>
      <c r="BZ12">
        <v>81</v>
      </c>
      <c r="CA12">
        <v>78</v>
      </c>
      <c r="CB12">
        <v>83</v>
      </c>
      <c r="CC12">
        <v>83</v>
      </c>
      <c r="CD12">
        <v>82</v>
      </c>
      <c r="CE12">
        <v>78</v>
      </c>
      <c r="CF12">
        <v>79</v>
      </c>
      <c r="CG12">
        <v>80</v>
      </c>
      <c r="CH12">
        <v>80</v>
      </c>
      <c r="CI12">
        <v>82</v>
      </c>
      <c r="CJ12">
        <v>80</v>
      </c>
      <c r="CK12">
        <v>83</v>
      </c>
      <c r="CL12">
        <v>84</v>
      </c>
      <c r="CM12">
        <v>81</v>
      </c>
      <c r="CN12">
        <v>82</v>
      </c>
      <c r="CO12">
        <v>83</v>
      </c>
      <c r="CP12">
        <v>81</v>
      </c>
      <c r="CQ12">
        <v>84</v>
      </c>
      <c r="CR12">
        <v>82</v>
      </c>
      <c r="CS12">
        <v>84</v>
      </c>
      <c r="CT12">
        <v>78</v>
      </c>
      <c r="CU12">
        <v>84</v>
      </c>
      <c r="CV12">
        <v>80</v>
      </c>
      <c r="CW12">
        <v>81</v>
      </c>
      <c r="CX12">
        <v>80</v>
      </c>
      <c r="CY12">
        <v>82</v>
      </c>
      <c r="CZ12">
        <v>81</v>
      </c>
      <c r="DA12">
        <v>77</v>
      </c>
      <c r="DB12">
        <v>82</v>
      </c>
      <c r="DC12">
        <v>79</v>
      </c>
      <c r="DD12">
        <v>80</v>
      </c>
      <c r="DE12">
        <v>76</v>
      </c>
      <c r="DF12">
        <v>80</v>
      </c>
      <c r="DG12">
        <v>77</v>
      </c>
      <c r="DH12">
        <v>80</v>
      </c>
      <c r="DI12">
        <v>79</v>
      </c>
      <c r="DJ12">
        <v>79</v>
      </c>
      <c r="DK12">
        <v>79</v>
      </c>
      <c r="DL12">
        <v>85</v>
      </c>
      <c r="DM12">
        <v>79</v>
      </c>
      <c r="DN12">
        <v>81</v>
      </c>
      <c r="DO12">
        <v>78</v>
      </c>
      <c r="DP12">
        <v>80</v>
      </c>
      <c r="DQ12">
        <v>82</v>
      </c>
      <c r="DR12">
        <v>81</v>
      </c>
      <c r="DS12">
        <v>79</v>
      </c>
      <c r="DT12">
        <v>82</v>
      </c>
      <c r="DU12">
        <v>80</v>
      </c>
      <c r="DV12">
        <v>83</v>
      </c>
      <c r="DW12">
        <v>81</v>
      </c>
      <c r="DX12">
        <v>75</v>
      </c>
      <c r="DY12">
        <v>78</v>
      </c>
      <c r="DZ12">
        <v>81</v>
      </c>
      <c r="EA12">
        <v>82</v>
      </c>
      <c r="EB12">
        <v>80</v>
      </c>
      <c r="EC12">
        <v>85</v>
      </c>
      <c r="ED12">
        <v>80</v>
      </c>
      <c r="EE12">
        <v>77</v>
      </c>
      <c r="EF12">
        <v>83</v>
      </c>
      <c r="EG12">
        <v>80</v>
      </c>
      <c r="EH12">
        <v>80</v>
      </c>
      <c r="EI12">
        <v>78</v>
      </c>
      <c r="EJ12">
        <v>79</v>
      </c>
      <c r="EK12">
        <v>78</v>
      </c>
      <c r="EL12">
        <v>78</v>
      </c>
      <c r="EM12">
        <v>79</v>
      </c>
      <c r="EN12">
        <v>81</v>
      </c>
      <c r="EO12">
        <v>78</v>
      </c>
      <c r="EP12">
        <v>81</v>
      </c>
    </row>
    <row r="13" spans="1:146" x14ac:dyDescent="0.3">
      <c r="A13" s="35" t="s">
        <v>168</v>
      </c>
      <c r="B13">
        <v>193</v>
      </c>
      <c r="C13">
        <v>191</v>
      </c>
      <c r="D13">
        <v>174</v>
      </c>
      <c r="E13">
        <v>191</v>
      </c>
      <c r="F13">
        <v>187</v>
      </c>
      <c r="G13">
        <v>192</v>
      </c>
      <c r="H13">
        <v>192</v>
      </c>
      <c r="I13">
        <v>187</v>
      </c>
      <c r="J13">
        <v>177</v>
      </c>
      <c r="K13">
        <v>193</v>
      </c>
      <c r="L13">
        <v>181</v>
      </c>
      <c r="M13">
        <v>176</v>
      </c>
      <c r="N13">
        <v>200</v>
      </c>
      <c r="O13">
        <v>190</v>
      </c>
      <c r="P13">
        <v>186</v>
      </c>
      <c r="Q13">
        <v>185</v>
      </c>
      <c r="R13">
        <v>186</v>
      </c>
      <c r="S13">
        <v>189</v>
      </c>
      <c r="T13">
        <v>191</v>
      </c>
      <c r="U13">
        <v>180</v>
      </c>
      <c r="V13">
        <v>183</v>
      </c>
      <c r="W13">
        <v>188</v>
      </c>
      <c r="X13">
        <v>198</v>
      </c>
      <c r="Y13">
        <v>180</v>
      </c>
      <c r="Z13">
        <v>190</v>
      </c>
      <c r="AA13">
        <v>185</v>
      </c>
      <c r="AB13">
        <v>181</v>
      </c>
      <c r="AC13">
        <v>183</v>
      </c>
      <c r="AD13">
        <v>196</v>
      </c>
      <c r="AE13">
        <v>188</v>
      </c>
      <c r="AF13">
        <v>184</v>
      </c>
      <c r="AG13">
        <v>206</v>
      </c>
      <c r="AH13">
        <v>208</v>
      </c>
      <c r="AI13">
        <v>200</v>
      </c>
      <c r="AJ13">
        <v>218</v>
      </c>
      <c r="AK13">
        <v>204</v>
      </c>
      <c r="AL13">
        <v>185</v>
      </c>
      <c r="AM13">
        <v>197</v>
      </c>
      <c r="AN13">
        <v>188</v>
      </c>
      <c r="AO13">
        <v>190</v>
      </c>
      <c r="AP13">
        <v>181</v>
      </c>
      <c r="AQ13">
        <v>189</v>
      </c>
      <c r="AR13">
        <v>188</v>
      </c>
      <c r="AS13">
        <v>190</v>
      </c>
      <c r="AT13">
        <v>179</v>
      </c>
      <c r="AU13">
        <v>184</v>
      </c>
      <c r="AV13">
        <v>183</v>
      </c>
      <c r="AW13">
        <v>193</v>
      </c>
      <c r="AX13">
        <v>190</v>
      </c>
      <c r="AY13">
        <v>178</v>
      </c>
      <c r="AZ13">
        <v>184</v>
      </c>
      <c r="BA13">
        <v>169</v>
      </c>
      <c r="BB13">
        <v>184</v>
      </c>
      <c r="BC13">
        <v>177</v>
      </c>
      <c r="BD13">
        <v>191</v>
      </c>
      <c r="BE13">
        <v>182</v>
      </c>
      <c r="BF13">
        <v>195</v>
      </c>
      <c r="BG13">
        <v>184</v>
      </c>
      <c r="BH13">
        <v>187</v>
      </c>
      <c r="BI13">
        <v>191</v>
      </c>
      <c r="BJ13">
        <v>186</v>
      </c>
      <c r="BK13">
        <v>184</v>
      </c>
      <c r="BL13">
        <v>184</v>
      </c>
      <c r="BM13">
        <v>183</v>
      </c>
      <c r="BN13">
        <v>187</v>
      </c>
      <c r="BO13">
        <v>182</v>
      </c>
      <c r="BP13">
        <v>186</v>
      </c>
      <c r="BQ13">
        <v>184</v>
      </c>
      <c r="BR13">
        <v>193</v>
      </c>
      <c r="BS13">
        <v>191</v>
      </c>
      <c r="BT13">
        <v>187</v>
      </c>
      <c r="BU13">
        <v>199</v>
      </c>
      <c r="BV13">
        <v>187</v>
      </c>
      <c r="BW13">
        <v>191</v>
      </c>
      <c r="BX13">
        <v>191</v>
      </c>
      <c r="BY13">
        <v>191</v>
      </c>
      <c r="BZ13">
        <v>185</v>
      </c>
      <c r="CA13">
        <v>190</v>
      </c>
      <c r="CB13">
        <v>190</v>
      </c>
      <c r="CC13">
        <v>187</v>
      </c>
      <c r="CD13">
        <v>189</v>
      </c>
      <c r="CE13">
        <v>188</v>
      </c>
      <c r="CF13">
        <v>193</v>
      </c>
      <c r="CG13">
        <v>192</v>
      </c>
      <c r="CH13">
        <v>186</v>
      </c>
      <c r="CI13">
        <v>192</v>
      </c>
      <c r="CJ13">
        <v>181</v>
      </c>
      <c r="CK13">
        <v>187</v>
      </c>
      <c r="CL13">
        <v>186</v>
      </c>
      <c r="CM13">
        <v>202</v>
      </c>
      <c r="CN13">
        <v>192</v>
      </c>
      <c r="CO13">
        <v>193</v>
      </c>
      <c r="CP13">
        <v>195</v>
      </c>
      <c r="CQ13">
        <v>191</v>
      </c>
      <c r="CR13">
        <v>192</v>
      </c>
      <c r="CS13">
        <v>189</v>
      </c>
      <c r="CT13">
        <v>179</v>
      </c>
      <c r="CU13">
        <v>177</v>
      </c>
      <c r="CV13">
        <v>190</v>
      </c>
      <c r="CW13">
        <v>177</v>
      </c>
      <c r="CX13">
        <v>187</v>
      </c>
      <c r="CY13">
        <v>184</v>
      </c>
      <c r="CZ13">
        <v>181</v>
      </c>
      <c r="DA13">
        <v>176</v>
      </c>
      <c r="DB13">
        <v>205</v>
      </c>
      <c r="DC13">
        <v>186</v>
      </c>
      <c r="DD13">
        <v>180</v>
      </c>
      <c r="DE13">
        <v>180</v>
      </c>
      <c r="DF13">
        <v>312</v>
      </c>
      <c r="DG13">
        <v>179</v>
      </c>
      <c r="DH13">
        <v>175</v>
      </c>
      <c r="DI13">
        <v>183</v>
      </c>
      <c r="DJ13">
        <v>184</v>
      </c>
      <c r="DK13">
        <v>184</v>
      </c>
      <c r="DL13">
        <v>183</v>
      </c>
      <c r="DM13">
        <v>187</v>
      </c>
      <c r="DN13">
        <v>176</v>
      </c>
      <c r="DO13">
        <v>185</v>
      </c>
      <c r="DP13">
        <v>208</v>
      </c>
      <c r="DQ13">
        <v>180</v>
      </c>
      <c r="DR13">
        <v>185</v>
      </c>
      <c r="DS13">
        <v>182</v>
      </c>
      <c r="DT13">
        <v>178</v>
      </c>
      <c r="DU13">
        <v>186</v>
      </c>
      <c r="DV13">
        <v>176</v>
      </c>
      <c r="DW13">
        <v>171</v>
      </c>
      <c r="DX13">
        <v>170</v>
      </c>
      <c r="DY13">
        <v>177</v>
      </c>
      <c r="DZ13">
        <v>186</v>
      </c>
      <c r="EA13">
        <v>181</v>
      </c>
      <c r="EB13">
        <v>176</v>
      </c>
      <c r="EC13">
        <v>175</v>
      </c>
      <c r="ED13">
        <v>183</v>
      </c>
      <c r="EE13">
        <v>181</v>
      </c>
      <c r="EF13">
        <v>177</v>
      </c>
      <c r="EG13">
        <v>177</v>
      </c>
      <c r="EH13">
        <v>181</v>
      </c>
      <c r="EI13">
        <v>181</v>
      </c>
      <c r="EJ13">
        <v>183</v>
      </c>
      <c r="EK13">
        <v>183</v>
      </c>
      <c r="EL13">
        <v>186</v>
      </c>
      <c r="EM13">
        <v>167</v>
      </c>
      <c r="EN13">
        <v>180</v>
      </c>
      <c r="EO13">
        <v>185</v>
      </c>
      <c r="EP13">
        <v>268</v>
      </c>
    </row>
    <row r="14" spans="1:146" x14ac:dyDescent="0.3">
      <c r="A14" s="35" t="s">
        <v>169</v>
      </c>
      <c r="B14">
        <v>189</v>
      </c>
      <c r="C14">
        <v>188</v>
      </c>
      <c r="D14">
        <v>192</v>
      </c>
      <c r="E14">
        <v>210</v>
      </c>
      <c r="F14">
        <v>182</v>
      </c>
      <c r="G14">
        <v>197</v>
      </c>
      <c r="H14">
        <v>191</v>
      </c>
      <c r="I14">
        <v>196</v>
      </c>
      <c r="J14">
        <v>185</v>
      </c>
      <c r="K14">
        <v>196</v>
      </c>
      <c r="L14">
        <v>191</v>
      </c>
      <c r="M14">
        <v>183</v>
      </c>
      <c r="N14">
        <v>185</v>
      </c>
      <c r="O14">
        <v>188</v>
      </c>
      <c r="P14">
        <v>191</v>
      </c>
      <c r="Q14">
        <v>201</v>
      </c>
      <c r="R14">
        <v>196</v>
      </c>
      <c r="S14">
        <v>194</v>
      </c>
      <c r="T14">
        <v>192</v>
      </c>
      <c r="U14">
        <v>191</v>
      </c>
      <c r="V14">
        <v>196</v>
      </c>
      <c r="W14">
        <v>187</v>
      </c>
      <c r="X14">
        <v>190</v>
      </c>
      <c r="Y14">
        <v>195</v>
      </c>
      <c r="Z14">
        <v>194</v>
      </c>
      <c r="AA14">
        <v>189</v>
      </c>
      <c r="AB14">
        <v>190</v>
      </c>
      <c r="AC14">
        <v>191</v>
      </c>
      <c r="AD14">
        <v>188</v>
      </c>
      <c r="AE14">
        <v>214</v>
      </c>
      <c r="AF14">
        <v>182</v>
      </c>
      <c r="AG14">
        <v>188</v>
      </c>
      <c r="AH14">
        <v>185</v>
      </c>
      <c r="AI14">
        <v>185</v>
      </c>
      <c r="AJ14">
        <v>201</v>
      </c>
      <c r="AK14">
        <v>192</v>
      </c>
      <c r="AL14">
        <v>186</v>
      </c>
      <c r="AM14">
        <v>189</v>
      </c>
      <c r="AN14">
        <v>196</v>
      </c>
      <c r="AO14">
        <v>187</v>
      </c>
      <c r="AP14">
        <v>199</v>
      </c>
      <c r="AQ14">
        <v>194</v>
      </c>
      <c r="AR14">
        <v>184</v>
      </c>
      <c r="AS14">
        <v>189</v>
      </c>
      <c r="AT14">
        <v>193</v>
      </c>
      <c r="AU14">
        <v>191</v>
      </c>
      <c r="AV14">
        <v>197</v>
      </c>
      <c r="AW14">
        <v>201</v>
      </c>
      <c r="AX14">
        <v>184</v>
      </c>
      <c r="AY14">
        <v>196</v>
      </c>
      <c r="AZ14">
        <v>189</v>
      </c>
      <c r="BA14">
        <v>187</v>
      </c>
      <c r="BB14">
        <v>189</v>
      </c>
      <c r="BC14">
        <v>187</v>
      </c>
      <c r="BD14">
        <v>188</v>
      </c>
      <c r="BE14">
        <v>196</v>
      </c>
      <c r="BF14">
        <v>181</v>
      </c>
      <c r="BG14">
        <v>190</v>
      </c>
      <c r="BH14">
        <v>192</v>
      </c>
      <c r="BI14">
        <v>190</v>
      </c>
      <c r="BJ14">
        <v>190</v>
      </c>
      <c r="BK14">
        <v>197</v>
      </c>
      <c r="BL14">
        <v>195</v>
      </c>
      <c r="BM14">
        <v>188</v>
      </c>
      <c r="BN14">
        <v>190</v>
      </c>
      <c r="BO14">
        <v>195</v>
      </c>
      <c r="BP14">
        <v>194</v>
      </c>
      <c r="BQ14">
        <v>183</v>
      </c>
      <c r="BR14">
        <v>191</v>
      </c>
      <c r="BS14">
        <v>187</v>
      </c>
      <c r="BT14">
        <v>193</v>
      </c>
      <c r="BU14">
        <v>190</v>
      </c>
      <c r="BV14">
        <v>194</v>
      </c>
      <c r="BW14">
        <v>196</v>
      </c>
      <c r="BX14">
        <v>191</v>
      </c>
      <c r="BY14">
        <v>198</v>
      </c>
      <c r="BZ14">
        <v>189</v>
      </c>
      <c r="CA14">
        <v>188</v>
      </c>
      <c r="CB14">
        <v>197</v>
      </c>
      <c r="CC14">
        <v>184</v>
      </c>
      <c r="CD14">
        <v>188</v>
      </c>
      <c r="CE14">
        <v>193</v>
      </c>
      <c r="CF14">
        <v>194</v>
      </c>
      <c r="CG14">
        <v>188</v>
      </c>
      <c r="CH14">
        <v>196</v>
      </c>
      <c r="CI14">
        <v>190</v>
      </c>
      <c r="CJ14">
        <v>192</v>
      </c>
      <c r="CK14">
        <v>186</v>
      </c>
      <c r="CL14">
        <v>196</v>
      </c>
      <c r="CM14">
        <v>187</v>
      </c>
      <c r="CN14">
        <v>191</v>
      </c>
      <c r="CO14">
        <v>200</v>
      </c>
      <c r="CP14">
        <v>192</v>
      </c>
      <c r="CQ14">
        <v>181</v>
      </c>
      <c r="CR14">
        <v>193</v>
      </c>
      <c r="CS14">
        <v>195</v>
      </c>
      <c r="CT14">
        <v>190</v>
      </c>
      <c r="CU14">
        <v>185</v>
      </c>
      <c r="CV14">
        <v>190</v>
      </c>
      <c r="CW14">
        <v>191</v>
      </c>
      <c r="CX14">
        <v>183</v>
      </c>
      <c r="CY14">
        <v>190</v>
      </c>
      <c r="CZ14">
        <v>184</v>
      </c>
      <c r="DA14">
        <v>185</v>
      </c>
      <c r="DB14">
        <v>191</v>
      </c>
      <c r="DC14">
        <v>189</v>
      </c>
      <c r="DD14">
        <v>185</v>
      </c>
      <c r="DE14">
        <v>180</v>
      </c>
      <c r="DF14">
        <v>194</v>
      </c>
      <c r="DG14">
        <v>178</v>
      </c>
      <c r="DH14">
        <v>181</v>
      </c>
      <c r="DI14">
        <v>181</v>
      </c>
      <c r="DJ14">
        <v>198</v>
      </c>
      <c r="DK14">
        <v>178</v>
      </c>
      <c r="DL14">
        <v>185</v>
      </c>
      <c r="DM14">
        <v>183</v>
      </c>
      <c r="DN14">
        <v>189</v>
      </c>
      <c r="DO14">
        <v>191</v>
      </c>
      <c r="DP14">
        <v>180</v>
      </c>
      <c r="DQ14">
        <v>189</v>
      </c>
      <c r="DR14">
        <v>188</v>
      </c>
      <c r="DS14">
        <v>194</v>
      </c>
      <c r="DT14">
        <v>184</v>
      </c>
      <c r="DU14">
        <v>186</v>
      </c>
      <c r="DV14">
        <v>191</v>
      </c>
      <c r="DW14">
        <v>171</v>
      </c>
      <c r="DX14">
        <v>194</v>
      </c>
      <c r="DY14">
        <v>184</v>
      </c>
      <c r="DZ14">
        <v>179</v>
      </c>
      <c r="EA14">
        <v>183</v>
      </c>
      <c r="EB14">
        <v>181</v>
      </c>
      <c r="EC14">
        <v>184</v>
      </c>
      <c r="ED14">
        <v>181</v>
      </c>
      <c r="EE14">
        <v>191</v>
      </c>
      <c r="EF14">
        <v>189</v>
      </c>
      <c r="EG14">
        <v>185</v>
      </c>
      <c r="EH14">
        <v>181</v>
      </c>
      <c r="EI14">
        <v>178</v>
      </c>
      <c r="EJ14">
        <v>185</v>
      </c>
      <c r="EK14">
        <v>188</v>
      </c>
      <c r="EL14">
        <v>186</v>
      </c>
      <c r="EM14">
        <v>191</v>
      </c>
      <c r="EN14">
        <v>192</v>
      </c>
      <c r="EO14">
        <v>190</v>
      </c>
      <c r="EP14">
        <v>194</v>
      </c>
    </row>
    <row r="15" spans="1:146" x14ac:dyDescent="0.3">
      <c r="A15" s="35" t="s">
        <v>170</v>
      </c>
      <c r="B15">
        <v>285</v>
      </c>
      <c r="C15">
        <v>285</v>
      </c>
      <c r="D15">
        <v>266</v>
      </c>
      <c r="E15">
        <v>253</v>
      </c>
      <c r="F15">
        <v>266</v>
      </c>
      <c r="G15">
        <v>249</v>
      </c>
      <c r="H15">
        <v>270</v>
      </c>
      <c r="I15">
        <v>272</v>
      </c>
      <c r="J15">
        <v>274</v>
      </c>
      <c r="K15">
        <v>269</v>
      </c>
      <c r="L15">
        <v>242</v>
      </c>
      <c r="M15">
        <v>248</v>
      </c>
      <c r="N15">
        <v>235</v>
      </c>
      <c r="O15">
        <v>261</v>
      </c>
      <c r="P15">
        <v>269</v>
      </c>
      <c r="Q15">
        <v>251</v>
      </c>
      <c r="R15">
        <v>248</v>
      </c>
      <c r="S15">
        <v>279</v>
      </c>
      <c r="T15">
        <v>252</v>
      </c>
      <c r="U15">
        <v>243</v>
      </c>
      <c r="V15">
        <v>278</v>
      </c>
      <c r="W15">
        <v>264</v>
      </c>
      <c r="X15">
        <v>249</v>
      </c>
      <c r="Y15">
        <v>252</v>
      </c>
      <c r="Z15">
        <v>268</v>
      </c>
      <c r="AA15">
        <v>264</v>
      </c>
      <c r="AB15">
        <v>264</v>
      </c>
      <c r="AC15">
        <v>260</v>
      </c>
      <c r="AD15">
        <v>278</v>
      </c>
      <c r="AE15">
        <v>285</v>
      </c>
      <c r="AF15">
        <v>264</v>
      </c>
      <c r="AG15">
        <v>263</v>
      </c>
      <c r="AH15">
        <v>295</v>
      </c>
      <c r="AI15">
        <v>274</v>
      </c>
      <c r="AJ15">
        <v>287</v>
      </c>
      <c r="AK15">
        <v>291</v>
      </c>
      <c r="AL15">
        <v>246</v>
      </c>
      <c r="AM15">
        <v>248</v>
      </c>
      <c r="AN15">
        <v>257</v>
      </c>
      <c r="AO15">
        <v>255</v>
      </c>
      <c r="AP15">
        <v>274</v>
      </c>
      <c r="AQ15">
        <v>265</v>
      </c>
      <c r="AR15">
        <v>248</v>
      </c>
      <c r="AS15">
        <v>242</v>
      </c>
      <c r="AT15">
        <v>260</v>
      </c>
      <c r="AU15">
        <v>248</v>
      </c>
      <c r="AV15">
        <v>234</v>
      </c>
      <c r="AW15">
        <v>268</v>
      </c>
      <c r="AX15">
        <v>234</v>
      </c>
      <c r="AY15">
        <v>239</v>
      </c>
      <c r="AZ15">
        <v>252</v>
      </c>
      <c r="BA15">
        <v>267</v>
      </c>
      <c r="BB15">
        <v>252</v>
      </c>
      <c r="BC15">
        <v>266</v>
      </c>
      <c r="BD15">
        <v>266</v>
      </c>
      <c r="BE15">
        <v>261</v>
      </c>
      <c r="BF15">
        <v>263</v>
      </c>
      <c r="BG15">
        <v>252</v>
      </c>
      <c r="BH15">
        <v>265</v>
      </c>
      <c r="BI15">
        <v>255</v>
      </c>
      <c r="BJ15">
        <v>248</v>
      </c>
      <c r="BK15">
        <v>263</v>
      </c>
      <c r="BL15">
        <v>255</v>
      </c>
      <c r="BM15">
        <v>267</v>
      </c>
      <c r="BN15">
        <v>260</v>
      </c>
      <c r="BO15">
        <v>273</v>
      </c>
      <c r="BP15">
        <v>259</v>
      </c>
      <c r="BQ15">
        <v>254</v>
      </c>
      <c r="BR15">
        <v>262</v>
      </c>
      <c r="BS15">
        <v>260</v>
      </c>
      <c r="BT15">
        <v>236</v>
      </c>
      <c r="BU15">
        <v>257</v>
      </c>
      <c r="BV15">
        <v>255</v>
      </c>
      <c r="BW15">
        <v>261</v>
      </c>
      <c r="BX15">
        <v>259</v>
      </c>
      <c r="BY15">
        <v>249</v>
      </c>
      <c r="BZ15">
        <v>265</v>
      </c>
      <c r="CA15">
        <v>263</v>
      </c>
      <c r="CB15">
        <v>246</v>
      </c>
      <c r="CC15">
        <v>260</v>
      </c>
      <c r="CD15">
        <v>261</v>
      </c>
      <c r="CE15">
        <v>273</v>
      </c>
      <c r="CF15">
        <v>249</v>
      </c>
      <c r="CG15">
        <v>254</v>
      </c>
      <c r="CH15">
        <v>245</v>
      </c>
      <c r="CI15">
        <v>275</v>
      </c>
      <c r="CJ15">
        <v>269</v>
      </c>
      <c r="CK15">
        <v>266</v>
      </c>
      <c r="CL15">
        <v>269</v>
      </c>
      <c r="CM15">
        <v>277</v>
      </c>
      <c r="CN15">
        <v>260</v>
      </c>
      <c r="CO15">
        <v>272</v>
      </c>
      <c r="CP15">
        <v>266</v>
      </c>
      <c r="CQ15">
        <v>282</v>
      </c>
      <c r="CR15">
        <v>263</v>
      </c>
      <c r="CS15">
        <v>248</v>
      </c>
      <c r="CT15">
        <v>250</v>
      </c>
      <c r="CU15">
        <v>255</v>
      </c>
      <c r="CV15">
        <v>277</v>
      </c>
      <c r="CW15">
        <v>282</v>
      </c>
      <c r="CX15">
        <v>277</v>
      </c>
      <c r="CY15">
        <v>267</v>
      </c>
      <c r="CZ15">
        <v>242</v>
      </c>
      <c r="DA15">
        <v>227</v>
      </c>
      <c r="DB15">
        <v>237</v>
      </c>
      <c r="DC15">
        <v>254</v>
      </c>
      <c r="DD15">
        <v>263</v>
      </c>
      <c r="DE15">
        <v>247</v>
      </c>
      <c r="DF15">
        <v>236</v>
      </c>
      <c r="DG15">
        <v>211</v>
      </c>
      <c r="DH15">
        <v>227</v>
      </c>
      <c r="DI15">
        <v>211</v>
      </c>
      <c r="DJ15">
        <v>237</v>
      </c>
      <c r="DK15">
        <v>225</v>
      </c>
      <c r="DL15">
        <v>221</v>
      </c>
      <c r="DM15">
        <v>207</v>
      </c>
      <c r="DN15">
        <v>211</v>
      </c>
      <c r="DO15">
        <v>279</v>
      </c>
      <c r="DP15">
        <v>288</v>
      </c>
      <c r="DQ15">
        <v>273</v>
      </c>
      <c r="DR15">
        <v>236</v>
      </c>
      <c r="DS15">
        <v>238</v>
      </c>
      <c r="DT15">
        <v>228</v>
      </c>
      <c r="DU15">
        <v>232</v>
      </c>
      <c r="DV15">
        <v>221</v>
      </c>
      <c r="DW15">
        <v>226</v>
      </c>
      <c r="DX15">
        <v>243</v>
      </c>
      <c r="DY15">
        <v>227</v>
      </c>
      <c r="DZ15">
        <v>240</v>
      </c>
      <c r="EA15">
        <v>232</v>
      </c>
      <c r="EB15">
        <v>226</v>
      </c>
      <c r="EC15">
        <v>221</v>
      </c>
      <c r="ED15">
        <v>243</v>
      </c>
      <c r="EE15">
        <v>260</v>
      </c>
      <c r="EF15">
        <v>230</v>
      </c>
      <c r="EG15">
        <v>214</v>
      </c>
      <c r="EH15">
        <v>223</v>
      </c>
      <c r="EI15">
        <v>215</v>
      </c>
      <c r="EJ15">
        <v>241</v>
      </c>
      <c r="EK15">
        <v>249</v>
      </c>
      <c r="EL15">
        <v>248</v>
      </c>
      <c r="EM15">
        <v>237</v>
      </c>
      <c r="EN15">
        <v>242</v>
      </c>
      <c r="EO15">
        <v>253</v>
      </c>
      <c r="EP15">
        <v>258</v>
      </c>
    </row>
    <row r="16" spans="1:146" x14ac:dyDescent="0.3">
      <c r="A16" s="35" t="s">
        <v>172</v>
      </c>
      <c r="B16">
        <v>346</v>
      </c>
      <c r="C16">
        <v>348</v>
      </c>
      <c r="D16">
        <v>342</v>
      </c>
      <c r="E16">
        <v>305</v>
      </c>
      <c r="F16">
        <v>353</v>
      </c>
      <c r="G16">
        <v>329</v>
      </c>
      <c r="H16">
        <v>383</v>
      </c>
      <c r="I16">
        <v>326</v>
      </c>
      <c r="J16">
        <v>340</v>
      </c>
      <c r="K16">
        <v>348</v>
      </c>
      <c r="L16">
        <v>348</v>
      </c>
      <c r="M16">
        <v>329</v>
      </c>
      <c r="N16">
        <v>338</v>
      </c>
      <c r="O16">
        <v>329</v>
      </c>
      <c r="P16">
        <v>340</v>
      </c>
      <c r="Q16">
        <v>351</v>
      </c>
      <c r="R16">
        <v>342</v>
      </c>
      <c r="S16">
        <v>342</v>
      </c>
      <c r="T16">
        <v>348</v>
      </c>
      <c r="U16">
        <v>387</v>
      </c>
      <c r="V16">
        <v>344</v>
      </c>
      <c r="W16">
        <v>322</v>
      </c>
      <c r="X16">
        <v>305</v>
      </c>
      <c r="Y16">
        <v>353</v>
      </c>
      <c r="Z16">
        <v>335</v>
      </c>
      <c r="AA16">
        <v>353</v>
      </c>
      <c r="AB16">
        <v>333</v>
      </c>
      <c r="AC16">
        <v>272</v>
      </c>
      <c r="AD16">
        <v>346</v>
      </c>
      <c r="AE16">
        <v>329</v>
      </c>
      <c r="AF16">
        <v>338</v>
      </c>
      <c r="AG16">
        <v>331</v>
      </c>
      <c r="AH16">
        <v>385</v>
      </c>
      <c r="AI16">
        <v>365</v>
      </c>
      <c r="AJ16">
        <v>420</v>
      </c>
      <c r="AK16">
        <v>379</v>
      </c>
      <c r="AL16">
        <v>315</v>
      </c>
      <c r="AM16">
        <v>338</v>
      </c>
      <c r="AN16">
        <v>353</v>
      </c>
      <c r="AO16">
        <v>324</v>
      </c>
      <c r="AP16">
        <v>353</v>
      </c>
      <c r="AQ16">
        <v>342</v>
      </c>
      <c r="AR16">
        <v>308</v>
      </c>
      <c r="AS16">
        <v>367</v>
      </c>
      <c r="AT16">
        <v>324</v>
      </c>
      <c r="AU16">
        <v>296</v>
      </c>
      <c r="AV16">
        <v>346</v>
      </c>
      <c r="AW16">
        <v>335</v>
      </c>
      <c r="AX16">
        <v>338</v>
      </c>
      <c r="AY16">
        <v>359</v>
      </c>
      <c r="AZ16">
        <v>361</v>
      </c>
      <c r="BA16">
        <v>353</v>
      </c>
      <c r="BB16">
        <v>365</v>
      </c>
      <c r="BC16">
        <v>310</v>
      </c>
      <c r="BD16">
        <v>305</v>
      </c>
      <c r="BE16">
        <v>331</v>
      </c>
      <c r="BF16">
        <v>338</v>
      </c>
      <c r="BG16">
        <v>342</v>
      </c>
      <c r="BH16">
        <v>350</v>
      </c>
      <c r="BI16">
        <v>322</v>
      </c>
      <c r="BJ16">
        <v>352</v>
      </c>
      <c r="BK16">
        <v>373</v>
      </c>
      <c r="BL16">
        <v>322</v>
      </c>
      <c r="BM16">
        <v>381</v>
      </c>
      <c r="BN16">
        <v>312</v>
      </c>
      <c r="BO16">
        <v>348</v>
      </c>
      <c r="BP16">
        <v>331</v>
      </c>
      <c r="BQ16">
        <v>313</v>
      </c>
      <c r="BR16">
        <v>313</v>
      </c>
      <c r="BS16">
        <v>320</v>
      </c>
      <c r="BT16">
        <v>342</v>
      </c>
      <c r="BU16">
        <v>338</v>
      </c>
      <c r="BV16">
        <v>346</v>
      </c>
      <c r="BW16">
        <v>367</v>
      </c>
      <c r="BX16">
        <v>357</v>
      </c>
      <c r="BY16">
        <v>331</v>
      </c>
      <c r="BZ16">
        <v>348</v>
      </c>
      <c r="CA16">
        <v>344</v>
      </c>
      <c r="CB16">
        <v>344</v>
      </c>
      <c r="CC16">
        <v>335</v>
      </c>
      <c r="CD16">
        <v>373</v>
      </c>
      <c r="CE16">
        <v>375</v>
      </c>
      <c r="CF16">
        <v>317</v>
      </c>
      <c r="CG16">
        <v>331</v>
      </c>
      <c r="CH16">
        <v>342</v>
      </c>
      <c r="CI16">
        <v>363</v>
      </c>
      <c r="CJ16">
        <v>352</v>
      </c>
      <c r="CK16">
        <v>317</v>
      </c>
      <c r="CL16">
        <v>305</v>
      </c>
      <c r="CM16">
        <v>352</v>
      </c>
      <c r="CN16">
        <v>355</v>
      </c>
      <c r="CO16">
        <v>357</v>
      </c>
      <c r="CP16">
        <v>350</v>
      </c>
      <c r="CQ16">
        <v>331</v>
      </c>
      <c r="CR16">
        <v>333</v>
      </c>
      <c r="CS16">
        <v>359</v>
      </c>
      <c r="CT16">
        <v>333</v>
      </c>
      <c r="CU16">
        <v>346</v>
      </c>
      <c r="CV16">
        <v>335</v>
      </c>
      <c r="CW16">
        <v>346</v>
      </c>
      <c r="CX16">
        <v>329</v>
      </c>
      <c r="CY16">
        <v>340</v>
      </c>
      <c r="CZ16">
        <v>324</v>
      </c>
      <c r="DA16">
        <v>324</v>
      </c>
      <c r="DB16">
        <v>326</v>
      </c>
      <c r="DC16">
        <v>324</v>
      </c>
      <c r="DD16">
        <v>355</v>
      </c>
      <c r="DE16">
        <v>357</v>
      </c>
      <c r="DF16">
        <v>310</v>
      </c>
      <c r="DG16">
        <v>329</v>
      </c>
      <c r="DH16">
        <v>312</v>
      </c>
      <c r="DI16">
        <v>337</v>
      </c>
      <c r="DJ16">
        <v>329</v>
      </c>
      <c r="DK16">
        <v>348</v>
      </c>
      <c r="DL16">
        <v>324</v>
      </c>
      <c r="DM16">
        <v>303</v>
      </c>
      <c r="DN16">
        <v>340</v>
      </c>
      <c r="DO16">
        <v>326</v>
      </c>
      <c r="DP16">
        <v>340</v>
      </c>
      <c r="DQ16">
        <v>340</v>
      </c>
      <c r="DR16">
        <v>335</v>
      </c>
      <c r="DS16">
        <v>350</v>
      </c>
      <c r="DT16">
        <v>363</v>
      </c>
      <c r="DU16">
        <v>308</v>
      </c>
      <c r="DV16">
        <v>305</v>
      </c>
      <c r="DW16">
        <v>337</v>
      </c>
      <c r="DX16">
        <v>348</v>
      </c>
      <c r="DY16">
        <v>350</v>
      </c>
      <c r="DZ16">
        <v>331</v>
      </c>
      <c r="EA16">
        <v>337</v>
      </c>
      <c r="EB16">
        <v>355</v>
      </c>
      <c r="EC16">
        <v>315</v>
      </c>
      <c r="ED16">
        <v>303</v>
      </c>
      <c r="EE16">
        <v>322</v>
      </c>
      <c r="EF16">
        <v>322</v>
      </c>
      <c r="EG16">
        <v>322</v>
      </c>
      <c r="EH16">
        <v>312</v>
      </c>
      <c r="EI16">
        <v>371</v>
      </c>
      <c r="EJ16">
        <v>365</v>
      </c>
      <c r="EK16">
        <v>348</v>
      </c>
      <c r="EL16">
        <v>355</v>
      </c>
      <c r="EM16">
        <v>346</v>
      </c>
      <c r="EN16">
        <v>346</v>
      </c>
      <c r="EO16">
        <v>310</v>
      </c>
      <c r="EP16">
        <v>300</v>
      </c>
    </row>
    <row r="17" spans="1:146" x14ac:dyDescent="0.3">
      <c r="A17" s="35" t="s">
        <v>173</v>
      </c>
      <c r="B17">
        <v>352</v>
      </c>
      <c r="C17">
        <v>339</v>
      </c>
      <c r="D17">
        <v>370</v>
      </c>
      <c r="E17">
        <v>333</v>
      </c>
      <c r="F17">
        <v>359</v>
      </c>
      <c r="G17">
        <v>348</v>
      </c>
      <c r="H17">
        <v>310</v>
      </c>
      <c r="I17">
        <v>345</v>
      </c>
      <c r="J17">
        <v>331</v>
      </c>
      <c r="K17">
        <v>366</v>
      </c>
      <c r="L17">
        <v>326</v>
      </c>
      <c r="M17">
        <v>346</v>
      </c>
      <c r="N17">
        <v>347</v>
      </c>
      <c r="O17">
        <v>307</v>
      </c>
      <c r="P17">
        <v>301</v>
      </c>
      <c r="Q17">
        <v>363</v>
      </c>
      <c r="R17">
        <v>354</v>
      </c>
      <c r="S17">
        <v>346</v>
      </c>
      <c r="T17">
        <v>347</v>
      </c>
      <c r="U17">
        <v>307</v>
      </c>
      <c r="V17">
        <v>343</v>
      </c>
      <c r="W17">
        <v>343</v>
      </c>
      <c r="X17">
        <v>383</v>
      </c>
      <c r="Y17">
        <v>361</v>
      </c>
      <c r="Z17">
        <v>331</v>
      </c>
      <c r="AA17">
        <v>363</v>
      </c>
      <c r="AB17">
        <v>337</v>
      </c>
      <c r="AC17">
        <v>335</v>
      </c>
      <c r="AD17">
        <v>352</v>
      </c>
      <c r="AE17">
        <v>350</v>
      </c>
      <c r="AF17">
        <v>343</v>
      </c>
      <c r="AG17">
        <v>400</v>
      </c>
      <c r="AH17">
        <v>378</v>
      </c>
      <c r="AI17">
        <v>403</v>
      </c>
      <c r="AJ17">
        <v>436</v>
      </c>
      <c r="AK17">
        <v>388</v>
      </c>
      <c r="AL17">
        <v>346</v>
      </c>
      <c r="AM17">
        <v>339</v>
      </c>
      <c r="AN17">
        <v>295</v>
      </c>
      <c r="AO17">
        <v>322</v>
      </c>
      <c r="AP17">
        <v>329</v>
      </c>
      <c r="AQ17">
        <v>299</v>
      </c>
      <c r="AR17">
        <v>318</v>
      </c>
      <c r="AS17">
        <v>343</v>
      </c>
      <c r="AT17">
        <v>326</v>
      </c>
      <c r="AU17">
        <v>356</v>
      </c>
      <c r="AV17">
        <v>348</v>
      </c>
      <c r="AW17">
        <v>348</v>
      </c>
      <c r="AX17">
        <v>327</v>
      </c>
      <c r="AY17">
        <v>348</v>
      </c>
      <c r="AZ17">
        <v>329</v>
      </c>
      <c r="BA17">
        <v>331</v>
      </c>
      <c r="BB17">
        <v>333</v>
      </c>
      <c r="BC17">
        <v>329</v>
      </c>
      <c r="BD17">
        <v>324</v>
      </c>
      <c r="BE17">
        <v>354</v>
      </c>
      <c r="BF17">
        <v>348</v>
      </c>
      <c r="BG17">
        <v>324</v>
      </c>
      <c r="BH17">
        <v>316</v>
      </c>
      <c r="BI17">
        <v>341</v>
      </c>
      <c r="BJ17">
        <v>325</v>
      </c>
      <c r="BK17">
        <v>303</v>
      </c>
      <c r="BL17">
        <v>337</v>
      </c>
      <c r="BM17">
        <v>383</v>
      </c>
      <c r="BN17">
        <v>333</v>
      </c>
      <c r="BO17">
        <v>331</v>
      </c>
      <c r="BP17">
        <v>357</v>
      </c>
      <c r="BQ17">
        <v>320</v>
      </c>
      <c r="BR17">
        <v>329</v>
      </c>
      <c r="BS17">
        <v>331</v>
      </c>
      <c r="BT17">
        <v>337</v>
      </c>
      <c r="BU17">
        <v>366</v>
      </c>
      <c r="BV17">
        <v>305</v>
      </c>
      <c r="BW17">
        <v>346</v>
      </c>
      <c r="BX17">
        <v>386</v>
      </c>
      <c r="BY17">
        <v>354</v>
      </c>
      <c r="BZ17">
        <v>345</v>
      </c>
      <c r="CA17">
        <v>354</v>
      </c>
      <c r="CB17">
        <v>354</v>
      </c>
      <c r="CC17">
        <v>314</v>
      </c>
      <c r="CD17">
        <v>352</v>
      </c>
      <c r="CE17">
        <v>354</v>
      </c>
      <c r="CF17">
        <v>361</v>
      </c>
      <c r="CG17">
        <v>335</v>
      </c>
      <c r="CH17">
        <v>350</v>
      </c>
      <c r="CI17">
        <v>329</v>
      </c>
      <c r="CJ17">
        <v>350</v>
      </c>
      <c r="CK17">
        <v>350</v>
      </c>
      <c r="CL17">
        <v>337</v>
      </c>
      <c r="CM17">
        <v>359</v>
      </c>
      <c r="CN17">
        <v>337</v>
      </c>
      <c r="CO17">
        <v>311</v>
      </c>
      <c r="CP17">
        <v>345</v>
      </c>
      <c r="CQ17">
        <v>348</v>
      </c>
      <c r="CR17">
        <v>350</v>
      </c>
      <c r="CS17">
        <v>345</v>
      </c>
      <c r="CT17">
        <v>366</v>
      </c>
      <c r="CU17">
        <v>322</v>
      </c>
      <c r="CV17">
        <v>361</v>
      </c>
      <c r="CW17">
        <v>333</v>
      </c>
      <c r="CX17">
        <v>337</v>
      </c>
      <c r="CY17">
        <v>335</v>
      </c>
      <c r="CZ17">
        <v>325</v>
      </c>
      <c r="DA17">
        <v>313</v>
      </c>
      <c r="DB17">
        <v>350</v>
      </c>
      <c r="DC17">
        <v>364</v>
      </c>
      <c r="DD17">
        <v>327</v>
      </c>
      <c r="DE17">
        <v>354</v>
      </c>
      <c r="DF17">
        <v>322</v>
      </c>
      <c r="DG17">
        <v>348</v>
      </c>
      <c r="DH17">
        <v>319</v>
      </c>
      <c r="DI17">
        <v>350</v>
      </c>
      <c r="DJ17">
        <v>301</v>
      </c>
      <c r="DK17">
        <v>327</v>
      </c>
      <c r="DL17">
        <v>339</v>
      </c>
      <c r="DM17">
        <v>325</v>
      </c>
      <c r="DN17">
        <v>357</v>
      </c>
      <c r="DO17">
        <v>341</v>
      </c>
      <c r="DP17">
        <v>318</v>
      </c>
      <c r="DQ17">
        <v>371</v>
      </c>
      <c r="DR17">
        <v>366</v>
      </c>
      <c r="DS17">
        <v>329</v>
      </c>
      <c r="DT17">
        <v>329</v>
      </c>
      <c r="DU17">
        <v>359</v>
      </c>
      <c r="DV17">
        <v>341</v>
      </c>
      <c r="DW17">
        <v>343</v>
      </c>
      <c r="DX17">
        <v>316</v>
      </c>
      <c r="DY17">
        <v>346</v>
      </c>
      <c r="DZ17">
        <v>337</v>
      </c>
      <c r="EA17">
        <v>335</v>
      </c>
      <c r="EB17">
        <v>359</v>
      </c>
      <c r="EC17">
        <v>361</v>
      </c>
      <c r="ED17">
        <v>366</v>
      </c>
      <c r="EE17">
        <v>352</v>
      </c>
      <c r="EF17">
        <v>352</v>
      </c>
      <c r="EG17">
        <v>329</v>
      </c>
      <c r="EH17">
        <v>337</v>
      </c>
      <c r="EI17">
        <v>371</v>
      </c>
      <c r="EJ17">
        <v>325</v>
      </c>
      <c r="EK17">
        <v>321</v>
      </c>
      <c r="EL17">
        <v>357</v>
      </c>
      <c r="EM17">
        <v>311</v>
      </c>
      <c r="EN17">
        <v>331</v>
      </c>
      <c r="EO17">
        <v>357</v>
      </c>
      <c r="EP17">
        <v>319</v>
      </c>
    </row>
    <row r="18" spans="1:146" x14ac:dyDescent="0.3">
      <c r="A18" s="35" t="s">
        <v>184</v>
      </c>
      <c r="B18">
        <v>507</v>
      </c>
      <c r="C18">
        <v>507</v>
      </c>
      <c r="D18">
        <v>491</v>
      </c>
      <c r="E18">
        <v>506</v>
      </c>
      <c r="F18">
        <v>502</v>
      </c>
      <c r="G18">
        <v>495</v>
      </c>
      <c r="H18">
        <v>481</v>
      </c>
      <c r="I18">
        <v>506</v>
      </c>
      <c r="J18">
        <v>490</v>
      </c>
      <c r="K18">
        <v>515</v>
      </c>
      <c r="L18">
        <v>496</v>
      </c>
      <c r="M18">
        <v>468</v>
      </c>
      <c r="N18">
        <v>493</v>
      </c>
      <c r="O18">
        <v>503</v>
      </c>
      <c r="P18">
        <v>497</v>
      </c>
      <c r="Q18">
        <v>509</v>
      </c>
      <c r="R18">
        <v>509</v>
      </c>
      <c r="S18">
        <v>491</v>
      </c>
      <c r="T18">
        <v>509</v>
      </c>
      <c r="U18">
        <v>480</v>
      </c>
      <c r="V18">
        <v>506</v>
      </c>
      <c r="W18">
        <v>478</v>
      </c>
      <c r="X18">
        <v>514</v>
      </c>
      <c r="Y18">
        <v>515</v>
      </c>
      <c r="Z18">
        <v>493</v>
      </c>
      <c r="AA18">
        <v>492</v>
      </c>
      <c r="AB18">
        <v>499</v>
      </c>
      <c r="AC18">
        <v>505</v>
      </c>
      <c r="AD18">
        <v>472</v>
      </c>
      <c r="AE18">
        <v>510</v>
      </c>
      <c r="AF18">
        <v>493</v>
      </c>
      <c r="AG18">
        <v>538</v>
      </c>
      <c r="AH18">
        <v>570</v>
      </c>
      <c r="AI18">
        <v>542</v>
      </c>
      <c r="AJ18">
        <v>614</v>
      </c>
      <c r="AK18">
        <v>607</v>
      </c>
      <c r="AL18">
        <v>520</v>
      </c>
      <c r="AM18">
        <v>505</v>
      </c>
      <c r="AN18">
        <v>481</v>
      </c>
      <c r="AO18">
        <v>512</v>
      </c>
      <c r="AP18">
        <v>489</v>
      </c>
      <c r="AQ18">
        <v>485</v>
      </c>
      <c r="AR18">
        <v>498</v>
      </c>
      <c r="AS18">
        <v>487</v>
      </c>
      <c r="AT18">
        <v>494</v>
      </c>
      <c r="AU18">
        <v>502</v>
      </c>
      <c r="AV18">
        <v>475</v>
      </c>
      <c r="AW18">
        <v>482</v>
      </c>
      <c r="AX18">
        <v>479</v>
      </c>
      <c r="AY18">
        <v>524</v>
      </c>
      <c r="AZ18">
        <v>500</v>
      </c>
      <c r="BA18">
        <v>495</v>
      </c>
      <c r="BB18">
        <v>485</v>
      </c>
      <c r="BC18">
        <v>482</v>
      </c>
      <c r="BD18">
        <v>509</v>
      </c>
      <c r="BE18">
        <v>502</v>
      </c>
      <c r="BF18">
        <v>483</v>
      </c>
      <c r="BG18">
        <v>476</v>
      </c>
      <c r="BH18">
        <v>493</v>
      </c>
      <c r="BI18">
        <v>495</v>
      </c>
      <c r="BJ18">
        <v>482</v>
      </c>
      <c r="BK18">
        <v>498</v>
      </c>
      <c r="BL18">
        <v>492</v>
      </c>
      <c r="BM18">
        <v>508</v>
      </c>
      <c r="BN18">
        <v>496</v>
      </c>
      <c r="BO18">
        <v>490</v>
      </c>
      <c r="BP18">
        <v>481</v>
      </c>
      <c r="BQ18">
        <v>466</v>
      </c>
      <c r="BR18">
        <v>462</v>
      </c>
      <c r="BS18">
        <v>482</v>
      </c>
      <c r="BT18">
        <v>471</v>
      </c>
      <c r="BU18">
        <v>517</v>
      </c>
      <c r="BV18">
        <v>481</v>
      </c>
      <c r="BW18">
        <v>521</v>
      </c>
      <c r="BX18">
        <v>486</v>
      </c>
      <c r="BY18">
        <v>510</v>
      </c>
      <c r="BZ18">
        <v>518</v>
      </c>
      <c r="CA18">
        <v>541</v>
      </c>
      <c r="CB18">
        <v>514</v>
      </c>
      <c r="CC18">
        <v>494</v>
      </c>
      <c r="CD18">
        <v>494</v>
      </c>
      <c r="CE18">
        <v>483</v>
      </c>
      <c r="CF18">
        <v>505</v>
      </c>
      <c r="CG18">
        <v>501</v>
      </c>
      <c r="CH18">
        <v>488</v>
      </c>
      <c r="CI18">
        <v>522</v>
      </c>
      <c r="CJ18">
        <v>481</v>
      </c>
      <c r="CK18">
        <v>499</v>
      </c>
      <c r="CL18">
        <v>509</v>
      </c>
      <c r="CM18">
        <v>498</v>
      </c>
      <c r="CN18">
        <v>490</v>
      </c>
      <c r="CO18">
        <v>486</v>
      </c>
      <c r="CP18">
        <v>504</v>
      </c>
      <c r="CQ18">
        <v>520</v>
      </c>
      <c r="CR18">
        <v>494</v>
      </c>
      <c r="CS18">
        <v>502</v>
      </c>
      <c r="CT18">
        <v>513</v>
      </c>
      <c r="CU18">
        <v>524</v>
      </c>
      <c r="CV18">
        <v>494</v>
      </c>
      <c r="CW18">
        <v>474</v>
      </c>
      <c r="CX18">
        <v>506</v>
      </c>
      <c r="CY18">
        <v>478</v>
      </c>
      <c r="CZ18">
        <v>461</v>
      </c>
      <c r="DA18">
        <v>472</v>
      </c>
      <c r="DB18">
        <v>471</v>
      </c>
      <c r="DC18">
        <v>495</v>
      </c>
      <c r="DD18">
        <v>463</v>
      </c>
      <c r="DE18">
        <v>501</v>
      </c>
      <c r="DF18">
        <v>497</v>
      </c>
      <c r="DG18">
        <v>502</v>
      </c>
      <c r="DH18">
        <v>497</v>
      </c>
      <c r="DI18">
        <v>481</v>
      </c>
      <c r="DJ18">
        <v>474</v>
      </c>
      <c r="DK18">
        <v>477</v>
      </c>
      <c r="DL18">
        <v>494</v>
      </c>
      <c r="DM18">
        <v>473</v>
      </c>
      <c r="DN18">
        <v>485</v>
      </c>
      <c r="DO18">
        <v>502</v>
      </c>
      <c r="DP18">
        <v>458</v>
      </c>
      <c r="DQ18">
        <v>489</v>
      </c>
      <c r="DR18">
        <v>462</v>
      </c>
      <c r="DS18">
        <v>480</v>
      </c>
      <c r="DT18">
        <v>479</v>
      </c>
      <c r="DU18">
        <v>489</v>
      </c>
      <c r="DV18">
        <v>494</v>
      </c>
      <c r="DW18">
        <v>453</v>
      </c>
      <c r="DX18">
        <v>507</v>
      </c>
      <c r="DY18">
        <v>490</v>
      </c>
      <c r="DZ18">
        <v>471</v>
      </c>
      <c r="EA18">
        <v>466</v>
      </c>
      <c r="EB18">
        <v>485</v>
      </c>
      <c r="EC18">
        <v>482</v>
      </c>
      <c r="ED18">
        <v>508</v>
      </c>
      <c r="EE18">
        <v>490</v>
      </c>
      <c r="EF18">
        <v>463</v>
      </c>
      <c r="EG18">
        <v>475</v>
      </c>
      <c r="EH18">
        <v>481</v>
      </c>
      <c r="EI18">
        <v>479</v>
      </c>
      <c r="EJ18">
        <v>477</v>
      </c>
      <c r="EK18">
        <v>492</v>
      </c>
      <c r="EL18">
        <v>473</v>
      </c>
      <c r="EM18">
        <v>492</v>
      </c>
      <c r="EN18">
        <v>455</v>
      </c>
      <c r="EO18">
        <v>489</v>
      </c>
      <c r="EP18">
        <v>484</v>
      </c>
    </row>
    <row r="19" spans="1:146" x14ac:dyDescent="0.3">
      <c r="A19" s="35" t="s">
        <v>185</v>
      </c>
      <c r="B19">
        <v>281</v>
      </c>
      <c r="C19">
        <v>285</v>
      </c>
      <c r="D19">
        <v>281</v>
      </c>
      <c r="E19">
        <v>264</v>
      </c>
      <c r="F19">
        <v>297</v>
      </c>
      <c r="G19">
        <v>266</v>
      </c>
      <c r="H19">
        <v>276</v>
      </c>
      <c r="I19">
        <v>273</v>
      </c>
      <c r="J19">
        <v>271</v>
      </c>
      <c r="K19">
        <v>277</v>
      </c>
      <c r="L19">
        <v>283</v>
      </c>
      <c r="M19">
        <v>278</v>
      </c>
      <c r="N19">
        <v>283</v>
      </c>
      <c r="O19">
        <v>273</v>
      </c>
      <c r="P19">
        <v>288</v>
      </c>
      <c r="Q19">
        <v>263</v>
      </c>
      <c r="R19">
        <v>269</v>
      </c>
      <c r="S19">
        <v>255</v>
      </c>
      <c r="T19">
        <v>289</v>
      </c>
      <c r="U19">
        <v>285</v>
      </c>
      <c r="V19">
        <v>289</v>
      </c>
      <c r="W19">
        <v>251</v>
      </c>
      <c r="X19">
        <v>273</v>
      </c>
      <c r="Y19">
        <v>255</v>
      </c>
      <c r="Z19">
        <v>257</v>
      </c>
      <c r="AA19">
        <v>267</v>
      </c>
      <c r="AB19">
        <v>277</v>
      </c>
      <c r="AC19">
        <v>260</v>
      </c>
      <c r="AD19">
        <v>281</v>
      </c>
      <c r="AE19">
        <v>266</v>
      </c>
      <c r="AF19">
        <v>269</v>
      </c>
      <c r="AG19">
        <v>317</v>
      </c>
      <c r="AH19">
        <v>322</v>
      </c>
      <c r="AI19">
        <v>296</v>
      </c>
      <c r="AJ19">
        <v>405</v>
      </c>
      <c r="AK19">
        <v>387</v>
      </c>
      <c r="AL19">
        <v>254</v>
      </c>
      <c r="AM19">
        <v>278</v>
      </c>
      <c r="AN19">
        <v>268</v>
      </c>
      <c r="AO19">
        <v>274</v>
      </c>
      <c r="AP19">
        <v>280</v>
      </c>
      <c r="AQ19">
        <v>278</v>
      </c>
      <c r="AR19">
        <v>264</v>
      </c>
      <c r="AS19">
        <v>278</v>
      </c>
      <c r="AT19">
        <v>270</v>
      </c>
      <c r="AU19">
        <v>263</v>
      </c>
      <c r="AV19">
        <v>260</v>
      </c>
      <c r="AW19">
        <v>267</v>
      </c>
      <c r="AX19">
        <v>284</v>
      </c>
      <c r="AY19">
        <v>264</v>
      </c>
      <c r="AZ19">
        <v>284</v>
      </c>
      <c r="BA19">
        <v>281</v>
      </c>
      <c r="BB19">
        <v>278</v>
      </c>
      <c r="BC19">
        <v>284</v>
      </c>
      <c r="BD19">
        <v>269</v>
      </c>
      <c r="BE19">
        <v>276</v>
      </c>
      <c r="BF19">
        <v>261</v>
      </c>
      <c r="BG19">
        <v>255</v>
      </c>
      <c r="BH19">
        <v>285</v>
      </c>
      <c r="BI19">
        <v>249</v>
      </c>
      <c r="BJ19">
        <v>280</v>
      </c>
      <c r="BK19">
        <v>247</v>
      </c>
      <c r="BL19">
        <v>249</v>
      </c>
      <c r="BM19">
        <v>264</v>
      </c>
      <c r="BN19">
        <v>276</v>
      </c>
      <c r="BO19">
        <v>281</v>
      </c>
      <c r="BP19">
        <v>281</v>
      </c>
      <c r="BQ19">
        <v>280</v>
      </c>
      <c r="BR19">
        <v>300</v>
      </c>
      <c r="BS19">
        <v>273</v>
      </c>
      <c r="BT19">
        <v>274</v>
      </c>
      <c r="BU19">
        <v>281</v>
      </c>
      <c r="BV19">
        <v>287</v>
      </c>
      <c r="BW19">
        <v>281</v>
      </c>
      <c r="BX19">
        <v>299</v>
      </c>
      <c r="BY19">
        <v>263</v>
      </c>
      <c r="BZ19">
        <v>285</v>
      </c>
      <c r="CA19">
        <v>280</v>
      </c>
      <c r="CB19">
        <v>277</v>
      </c>
      <c r="CC19">
        <v>288</v>
      </c>
      <c r="CD19">
        <v>281</v>
      </c>
      <c r="CE19">
        <v>278</v>
      </c>
      <c r="CF19">
        <v>261</v>
      </c>
      <c r="CG19">
        <v>257</v>
      </c>
      <c r="CH19">
        <v>252</v>
      </c>
      <c r="CI19">
        <v>295</v>
      </c>
      <c r="CJ19">
        <v>268</v>
      </c>
      <c r="CK19">
        <v>258</v>
      </c>
      <c r="CL19">
        <v>247</v>
      </c>
      <c r="CM19">
        <v>283</v>
      </c>
      <c r="CN19">
        <v>284</v>
      </c>
      <c r="CO19">
        <v>260</v>
      </c>
      <c r="CP19">
        <v>266</v>
      </c>
      <c r="CQ19">
        <v>293</v>
      </c>
      <c r="CR19">
        <v>301</v>
      </c>
      <c r="CS19">
        <v>273</v>
      </c>
      <c r="CT19">
        <v>276</v>
      </c>
      <c r="CU19">
        <v>271</v>
      </c>
      <c r="CV19">
        <v>293</v>
      </c>
      <c r="CW19">
        <v>285</v>
      </c>
      <c r="CX19">
        <v>277</v>
      </c>
      <c r="CY19">
        <v>270</v>
      </c>
      <c r="CZ19">
        <v>267</v>
      </c>
      <c r="DA19">
        <v>255</v>
      </c>
      <c r="DB19">
        <v>258</v>
      </c>
      <c r="DC19">
        <v>261</v>
      </c>
      <c r="DD19">
        <v>278</v>
      </c>
      <c r="DE19">
        <v>288</v>
      </c>
      <c r="DF19">
        <v>271</v>
      </c>
      <c r="DG19">
        <v>260</v>
      </c>
      <c r="DH19">
        <v>228</v>
      </c>
      <c r="DI19">
        <v>274</v>
      </c>
      <c r="DJ19">
        <v>287</v>
      </c>
      <c r="DK19">
        <v>261</v>
      </c>
      <c r="DL19">
        <v>252</v>
      </c>
      <c r="DM19">
        <v>274</v>
      </c>
      <c r="DN19">
        <v>257</v>
      </c>
      <c r="DO19">
        <v>270</v>
      </c>
      <c r="DP19">
        <v>284</v>
      </c>
      <c r="DQ19">
        <v>281</v>
      </c>
      <c r="DR19">
        <v>273</v>
      </c>
      <c r="DS19">
        <v>261</v>
      </c>
      <c r="DT19">
        <v>278</v>
      </c>
      <c r="DU19">
        <v>260</v>
      </c>
      <c r="DV19">
        <v>284</v>
      </c>
      <c r="DW19">
        <v>278</v>
      </c>
      <c r="DX19">
        <v>268</v>
      </c>
      <c r="DY19">
        <v>268</v>
      </c>
      <c r="DZ19">
        <v>263</v>
      </c>
      <c r="EA19">
        <v>276</v>
      </c>
      <c r="EB19">
        <v>243</v>
      </c>
      <c r="EC19">
        <v>246</v>
      </c>
      <c r="ED19">
        <v>249</v>
      </c>
      <c r="EE19">
        <v>274</v>
      </c>
      <c r="EF19">
        <v>280</v>
      </c>
      <c r="EG19">
        <v>271</v>
      </c>
      <c r="EH19">
        <v>268</v>
      </c>
      <c r="EI19">
        <v>280</v>
      </c>
      <c r="EJ19">
        <v>267</v>
      </c>
      <c r="EK19">
        <v>264</v>
      </c>
      <c r="EL19">
        <v>266</v>
      </c>
      <c r="EM19">
        <v>263</v>
      </c>
      <c r="EN19">
        <v>267</v>
      </c>
      <c r="EO19">
        <v>274</v>
      </c>
      <c r="EP19">
        <v>284</v>
      </c>
    </row>
    <row r="20" spans="1:146" x14ac:dyDescent="0.3">
      <c r="A20" s="35" t="s">
        <v>603</v>
      </c>
      <c r="B20">
        <v>852</v>
      </c>
      <c r="C20">
        <v>684</v>
      </c>
      <c r="D20">
        <v>644</v>
      </c>
      <c r="E20">
        <v>1019</v>
      </c>
      <c r="F20">
        <v>720</v>
      </c>
      <c r="G20">
        <v>684</v>
      </c>
      <c r="H20">
        <v>558</v>
      </c>
      <c r="I20">
        <v>509</v>
      </c>
      <c r="J20">
        <v>756</v>
      </c>
      <c r="K20">
        <v>821</v>
      </c>
      <c r="L20">
        <v>821</v>
      </c>
      <c r="M20">
        <v>821</v>
      </c>
      <c r="N20">
        <v>720</v>
      </c>
      <c r="O20">
        <v>720</v>
      </c>
      <c r="P20">
        <v>509</v>
      </c>
      <c r="Q20">
        <v>558</v>
      </c>
      <c r="R20">
        <v>603</v>
      </c>
      <c r="S20">
        <v>509</v>
      </c>
      <c r="T20">
        <v>322</v>
      </c>
      <c r="U20">
        <v>558</v>
      </c>
      <c r="V20">
        <v>644</v>
      </c>
      <c r="W20">
        <v>558</v>
      </c>
      <c r="X20">
        <v>644</v>
      </c>
      <c r="Y20">
        <v>720</v>
      </c>
      <c r="Z20">
        <v>755</v>
      </c>
      <c r="AA20">
        <v>789</v>
      </c>
      <c r="AB20">
        <v>683</v>
      </c>
      <c r="AC20">
        <v>755</v>
      </c>
      <c r="AD20">
        <v>756</v>
      </c>
      <c r="AE20">
        <v>789</v>
      </c>
      <c r="AF20">
        <v>821</v>
      </c>
      <c r="AG20">
        <v>1068</v>
      </c>
      <c r="AH20">
        <v>1018</v>
      </c>
      <c r="AI20">
        <v>1116</v>
      </c>
      <c r="AJ20">
        <v>939</v>
      </c>
      <c r="AK20">
        <v>882</v>
      </c>
      <c r="AL20">
        <v>644</v>
      </c>
      <c r="AM20">
        <v>789</v>
      </c>
      <c r="AN20">
        <v>644</v>
      </c>
      <c r="AO20">
        <v>720</v>
      </c>
      <c r="AP20">
        <v>644</v>
      </c>
      <c r="AQ20">
        <v>1019</v>
      </c>
      <c r="AR20">
        <v>644</v>
      </c>
      <c r="AS20">
        <v>683</v>
      </c>
      <c r="AT20">
        <v>644</v>
      </c>
      <c r="AU20">
        <v>756</v>
      </c>
      <c r="AV20">
        <v>755</v>
      </c>
      <c r="AW20">
        <v>683</v>
      </c>
      <c r="AX20">
        <v>644</v>
      </c>
      <c r="AY20">
        <v>756</v>
      </c>
      <c r="AZ20">
        <v>683</v>
      </c>
      <c r="BA20">
        <v>720</v>
      </c>
      <c r="BB20">
        <v>644</v>
      </c>
      <c r="BC20">
        <v>789</v>
      </c>
      <c r="BD20">
        <v>789</v>
      </c>
      <c r="BE20">
        <v>683</v>
      </c>
      <c r="BF20">
        <v>683</v>
      </c>
      <c r="BG20">
        <v>720</v>
      </c>
      <c r="BH20">
        <v>852</v>
      </c>
      <c r="BI20">
        <v>509</v>
      </c>
      <c r="BJ20">
        <v>602</v>
      </c>
      <c r="BK20">
        <v>939</v>
      </c>
      <c r="BL20">
        <v>993</v>
      </c>
      <c r="BM20">
        <v>789</v>
      </c>
      <c r="BN20">
        <v>821</v>
      </c>
      <c r="BO20">
        <v>911</v>
      </c>
      <c r="BP20">
        <v>966</v>
      </c>
      <c r="BQ20">
        <v>852</v>
      </c>
      <c r="BR20">
        <v>720</v>
      </c>
      <c r="BS20">
        <v>644</v>
      </c>
      <c r="BT20">
        <v>558</v>
      </c>
      <c r="BU20">
        <v>789</v>
      </c>
      <c r="BV20">
        <v>603</v>
      </c>
      <c r="BW20">
        <v>789</v>
      </c>
      <c r="BX20">
        <v>789</v>
      </c>
      <c r="BY20">
        <v>789</v>
      </c>
      <c r="BZ20">
        <v>755</v>
      </c>
      <c r="CA20">
        <v>720</v>
      </c>
      <c r="CB20">
        <v>720</v>
      </c>
      <c r="CC20">
        <v>852</v>
      </c>
      <c r="CD20">
        <v>720</v>
      </c>
      <c r="CE20">
        <v>558</v>
      </c>
      <c r="CF20">
        <v>683</v>
      </c>
      <c r="CG20">
        <v>789</v>
      </c>
      <c r="CH20">
        <v>456</v>
      </c>
      <c r="CI20">
        <v>720</v>
      </c>
      <c r="CJ20">
        <v>939</v>
      </c>
      <c r="CK20">
        <v>644</v>
      </c>
      <c r="CL20">
        <v>1044</v>
      </c>
      <c r="CM20">
        <v>720</v>
      </c>
      <c r="CN20">
        <v>683</v>
      </c>
      <c r="CO20">
        <v>720</v>
      </c>
      <c r="CP20">
        <v>644</v>
      </c>
      <c r="CQ20">
        <v>720</v>
      </c>
      <c r="CR20">
        <v>683</v>
      </c>
      <c r="CS20">
        <v>683</v>
      </c>
      <c r="CT20">
        <v>789</v>
      </c>
      <c r="CU20">
        <v>755</v>
      </c>
      <c r="CV20">
        <v>683</v>
      </c>
      <c r="CW20">
        <v>821</v>
      </c>
      <c r="CX20">
        <v>602</v>
      </c>
      <c r="CY20">
        <v>911</v>
      </c>
      <c r="CZ20">
        <v>644</v>
      </c>
      <c r="DA20">
        <v>644</v>
      </c>
      <c r="DB20">
        <v>602</v>
      </c>
      <c r="DC20">
        <v>939</v>
      </c>
      <c r="DD20">
        <v>603</v>
      </c>
      <c r="DE20">
        <v>789</v>
      </c>
      <c r="DF20">
        <v>755</v>
      </c>
      <c r="DG20">
        <v>602</v>
      </c>
      <c r="DH20">
        <v>644</v>
      </c>
      <c r="DI20">
        <v>602</v>
      </c>
      <c r="DJ20">
        <v>509</v>
      </c>
      <c r="DK20">
        <v>755</v>
      </c>
      <c r="DL20">
        <v>852</v>
      </c>
      <c r="DM20">
        <v>603</v>
      </c>
      <c r="DN20">
        <v>821</v>
      </c>
      <c r="DO20">
        <v>644</v>
      </c>
      <c r="DP20">
        <v>558</v>
      </c>
      <c r="DQ20">
        <v>644</v>
      </c>
      <c r="DR20">
        <v>821</v>
      </c>
      <c r="DS20">
        <v>911</v>
      </c>
      <c r="DT20">
        <v>939</v>
      </c>
      <c r="DU20">
        <v>720</v>
      </c>
      <c r="DV20">
        <v>644</v>
      </c>
      <c r="DW20">
        <v>789</v>
      </c>
      <c r="DX20">
        <v>789</v>
      </c>
      <c r="DY20">
        <v>455</v>
      </c>
      <c r="DZ20">
        <v>644</v>
      </c>
      <c r="EA20">
        <v>683</v>
      </c>
      <c r="EB20">
        <v>602</v>
      </c>
      <c r="EC20">
        <v>644</v>
      </c>
      <c r="ED20">
        <v>683</v>
      </c>
      <c r="EE20">
        <v>755</v>
      </c>
      <c r="EF20">
        <v>720</v>
      </c>
      <c r="EG20">
        <v>509</v>
      </c>
      <c r="EH20">
        <v>911</v>
      </c>
      <c r="EI20">
        <v>789</v>
      </c>
      <c r="EJ20">
        <v>1018</v>
      </c>
      <c r="EK20">
        <v>882</v>
      </c>
      <c r="EL20">
        <v>644</v>
      </c>
      <c r="EM20">
        <v>509</v>
      </c>
      <c r="EN20">
        <v>755</v>
      </c>
      <c r="EO20">
        <v>720</v>
      </c>
      <c r="EP20">
        <v>683</v>
      </c>
    </row>
    <row r="21" spans="1:146" x14ac:dyDescent="0.3">
      <c r="A21" s="35" t="s">
        <v>1</v>
      </c>
      <c r="B21">
        <v>83</v>
      </c>
      <c r="C21">
        <v>83</v>
      </c>
      <c r="D21">
        <v>78</v>
      </c>
      <c r="E21">
        <v>84</v>
      </c>
      <c r="F21">
        <v>79</v>
      </c>
      <c r="G21">
        <v>89</v>
      </c>
      <c r="H21">
        <v>90</v>
      </c>
      <c r="I21">
        <v>84</v>
      </c>
      <c r="J21">
        <v>83</v>
      </c>
      <c r="K21">
        <v>86</v>
      </c>
      <c r="L21">
        <v>84</v>
      </c>
      <c r="M21">
        <v>75</v>
      </c>
      <c r="N21">
        <v>84</v>
      </c>
      <c r="O21">
        <v>75</v>
      </c>
      <c r="P21">
        <v>89</v>
      </c>
      <c r="Q21">
        <v>85</v>
      </c>
      <c r="R21">
        <v>81</v>
      </c>
      <c r="S21">
        <v>79</v>
      </c>
      <c r="T21">
        <v>85</v>
      </c>
      <c r="U21">
        <v>89</v>
      </c>
      <c r="V21">
        <v>87</v>
      </c>
      <c r="W21">
        <v>83</v>
      </c>
      <c r="X21">
        <v>83</v>
      </c>
      <c r="Y21">
        <v>86</v>
      </c>
      <c r="Z21">
        <v>82</v>
      </c>
      <c r="AA21">
        <v>84</v>
      </c>
      <c r="AB21">
        <v>84</v>
      </c>
      <c r="AC21">
        <v>85</v>
      </c>
      <c r="AD21">
        <v>79</v>
      </c>
      <c r="AE21">
        <v>87</v>
      </c>
      <c r="AF21">
        <v>82</v>
      </c>
      <c r="AG21">
        <v>78</v>
      </c>
      <c r="AH21">
        <v>80</v>
      </c>
      <c r="AI21">
        <v>78</v>
      </c>
      <c r="AJ21">
        <v>82</v>
      </c>
      <c r="AK21">
        <v>78</v>
      </c>
      <c r="AL21">
        <v>77</v>
      </c>
      <c r="AM21">
        <v>83</v>
      </c>
      <c r="AN21">
        <v>83</v>
      </c>
      <c r="AO21">
        <v>77</v>
      </c>
      <c r="AP21">
        <v>83</v>
      </c>
      <c r="AQ21">
        <v>84</v>
      </c>
      <c r="AR21">
        <v>79</v>
      </c>
      <c r="AS21">
        <v>85</v>
      </c>
      <c r="AT21">
        <v>84</v>
      </c>
      <c r="AU21">
        <v>80</v>
      </c>
      <c r="AV21">
        <v>84</v>
      </c>
      <c r="AW21">
        <v>86</v>
      </c>
      <c r="AX21">
        <v>81</v>
      </c>
      <c r="AY21">
        <v>86</v>
      </c>
      <c r="AZ21">
        <v>84</v>
      </c>
      <c r="BA21">
        <v>84</v>
      </c>
      <c r="BB21">
        <v>77</v>
      </c>
      <c r="BC21">
        <v>80</v>
      </c>
      <c r="BD21">
        <v>80</v>
      </c>
      <c r="BE21">
        <v>81</v>
      </c>
      <c r="BF21">
        <v>85</v>
      </c>
      <c r="BG21">
        <v>85</v>
      </c>
      <c r="BH21">
        <v>83</v>
      </c>
      <c r="BI21">
        <v>83</v>
      </c>
      <c r="BJ21">
        <v>78</v>
      </c>
      <c r="BK21">
        <v>85</v>
      </c>
      <c r="BL21">
        <v>87</v>
      </c>
      <c r="BM21">
        <v>80</v>
      </c>
      <c r="BN21">
        <v>84</v>
      </c>
      <c r="BO21">
        <v>84</v>
      </c>
      <c r="BP21">
        <v>84</v>
      </c>
      <c r="BQ21">
        <v>83</v>
      </c>
      <c r="BR21">
        <v>86</v>
      </c>
      <c r="BS21">
        <v>82</v>
      </c>
      <c r="BT21">
        <v>80</v>
      </c>
      <c r="BU21">
        <v>79</v>
      </c>
      <c r="BV21">
        <v>81</v>
      </c>
      <c r="BW21">
        <v>84</v>
      </c>
      <c r="BX21">
        <v>83</v>
      </c>
      <c r="BY21">
        <v>85</v>
      </c>
      <c r="BZ21">
        <v>85</v>
      </c>
      <c r="CA21">
        <v>82</v>
      </c>
      <c r="CB21">
        <v>81</v>
      </c>
      <c r="CC21">
        <v>84</v>
      </c>
      <c r="CD21">
        <v>84</v>
      </c>
      <c r="CE21">
        <v>81</v>
      </c>
      <c r="CF21">
        <v>86</v>
      </c>
      <c r="CG21">
        <v>80</v>
      </c>
      <c r="CH21">
        <v>83</v>
      </c>
      <c r="CI21">
        <v>83</v>
      </c>
      <c r="CJ21">
        <v>83</v>
      </c>
      <c r="CK21">
        <v>86</v>
      </c>
      <c r="CL21">
        <v>82</v>
      </c>
      <c r="CM21">
        <v>83</v>
      </c>
      <c r="CN21">
        <v>82</v>
      </c>
      <c r="CO21">
        <v>73</v>
      </c>
      <c r="CP21">
        <v>83</v>
      </c>
      <c r="CQ21">
        <v>79</v>
      </c>
      <c r="CR21">
        <v>87</v>
      </c>
      <c r="CS21">
        <v>83</v>
      </c>
      <c r="CT21">
        <v>80</v>
      </c>
      <c r="CU21">
        <v>82</v>
      </c>
      <c r="CV21">
        <v>83</v>
      </c>
      <c r="CW21">
        <v>79</v>
      </c>
      <c r="CX21">
        <v>70</v>
      </c>
      <c r="CY21">
        <v>78</v>
      </c>
      <c r="CZ21">
        <v>75</v>
      </c>
      <c r="DA21">
        <v>74</v>
      </c>
      <c r="DB21">
        <v>79</v>
      </c>
      <c r="DC21">
        <v>75</v>
      </c>
      <c r="DD21">
        <v>73</v>
      </c>
      <c r="DE21">
        <v>78</v>
      </c>
      <c r="DF21">
        <v>81</v>
      </c>
      <c r="DG21">
        <v>73</v>
      </c>
      <c r="DH21">
        <v>82</v>
      </c>
      <c r="DI21">
        <v>79</v>
      </c>
      <c r="DJ21">
        <v>75</v>
      </c>
      <c r="DK21">
        <v>78</v>
      </c>
      <c r="DL21">
        <v>74</v>
      </c>
      <c r="DM21">
        <v>80</v>
      </c>
      <c r="DN21">
        <v>77</v>
      </c>
      <c r="DO21">
        <v>79</v>
      </c>
      <c r="DP21">
        <v>75</v>
      </c>
      <c r="DQ21">
        <v>78</v>
      </c>
      <c r="DR21">
        <v>74</v>
      </c>
      <c r="DS21">
        <v>79</v>
      </c>
      <c r="DT21">
        <v>76</v>
      </c>
      <c r="DU21">
        <v>75</v>
      </c>
      <c r="DV21">
        <v>78</v>
      </c>
      <c r="DW21">
        <v>79</v>
      </c>
      <c r="DX21">
        <v>75</v>
      </c>
      <c r="DY21">
        <v>72</v>
      </c>
      <c r="DZ21">
        <v>76</v>
      </c>
      <c r="EA21">
        <v>75</v>
      </c>
      <c r="EB21">
        <v>81</v>
      </c>
      <c r="EC21">
        <v>78</v>
      </c>
      <c r="ED21">
        <v>73</v>
      </c>
      <c r="EE21">
        <v>80</v>
      </c>
      <c r="EF21">
        <v>84</v>
      </c>
      <c r="EG21">
        <v>75</v>
      </c>
      <c r="EH21">
        <v>75</v>
      </c>
      <c r="EI21">
        <v>75</v>
      </c>
      <c r="EJ21">
        <v>71</v>
      </c>
      <c r="EK21">
        <v>80</v>
      </c>
      <c r="EL21">
        <v>78</v>
      </c>
      <c r="EM21">
        <v>72</v>
      </c>
      <c r="EN21">
        <v>80</v>
      </c>
      <c r="EO21">
        <v>83</v>
      </c>
      <c r="EP21">
        <v>79</v>
      </c>
    </row>
    <row r="22" spans="1:146" x14ac:dyDescent="0.3">
      <c r="A22" s="36" t="s">
        <v>525</v>
      </c>
      <c r="B22" s="30">
        <v>302</v>
      </c>
      <c r="C22" s="30">
        <v>740</v>
      </c>
      <c r="D22" s="30">
        <v>302</v>
      </c>
      <c r="E22" s="30">
        <v>302</v>
      </c>
      <c r="F22" s="30">
        <v>307</v>
      </c>
      <c r="G22" s="30">
        <v>711</v>
      </c>
      <c r="H22" s="30">
        <v>879</v>
      </c>
      <c r="I22" s="30">
        <v>304</v>
      </c>
      <c r="J22" s="30">
        <v>308</v>
      </c>
      <c r="K22" s="30">
        <v>318</v>
      </c>
      <c r="L22" s="30">
        <v>889</v>
      </c>
      <c r="M22" s="30">
        <v>751</v>
      </c>
      <c r="N22" s="30">
        <v>307</v>
      </c>
      <c r="O22" s="30">
        <v>330</v>
      </c>
      <c r="P22" s="30">
        <v>301</v>
      </c>
      <c r="Q22" s="30">
        <v>304</v>
      </c>
      <c r="R22" s="30">
        <v>315</v>
      </c>
      <c r="S22" s="30">
        <v>308</v>
      </c>
      <c r="T22" s="30">
        <v>302</v>
      </c>
      <c r="U22" s="30">
        <v>324</v>
      </c>
      <c r="V22" s="30">
        <v>296</v>
      </c>
      <c r="W22" s="30">
        <v>318</v>
      </c>
      <c r="X22" s="30">
        <v>296</v>
      </c>
      <c r="Y22" s="30">
        <v>308</v>
      </c>
      <c r="Z22" s="30">
        <v>301</v>
      </c>
      <c r="AA22" s="30">
        <v>307</v>
      </c>
      <c r="AB22" s="30">
        <v>298</v>
      </c>
      <c r="AC22" s="30">
        <v>582</v>
      </c>
      <c r="AD22" s="30">
        <v>303</v>
      </c>
      <c r="AE22" s="30">
        <v>355</v>
      </c>
      <c r="AF22" s="30">
        <v>365</v>
      </c>
      <c r="AG22" s="30">
        <v>609</v>
      </c>
      <c r="AH22" s="30">
        <v>398</v>
      </c>
      <c r="AI22" s="30">
        <v>246</v>
      </c>
      <c r="AJ22" s="30">
        <v>269</v>
      </c>
      <c r="AK22" s="30">
        <v>259</v>
      </c>
      <c r="AL22" s="30">
        <v>303</v>
      </c>
      <c r="AM22" s="30">
        <v>306</v>
      </c>
      <c r="AN22" s="30">
        <v>565</v>
      </c>
      <c r="AO22" s="30">
        <v>300</v>
      </c>
      <c r="AP22" s="30">
        <v>407</v>
      </c>
      <c r="AQ22" s="30">
        <v>776</v>
      </c>
      <c r="AR22" s="30">
        <v>302</v>
      </c>
      <c r="AS22" s="30">
        <v>304</v>
      </c>
      <c r="AT22" s="30">
        <v>332</v>
      </c>
      <c r="AU22" s="30">
        <v>774</v>
      </c>
      <c r="AV22" s="30">
        <v>306</v>
      </c>
      <c r="AW22" s="30">
        <v>302</v>
      </c>
      <c r="AX22" s="30">
        <v>397</v>
      </c>
      <c r="AY22" s="30">
        <v>301</v>
      </c>
      <c r="AZ22" s="30">
        <v>329</v>
      </c>
      <c r="BA22" s="30">
        <v>312</v>
      </c>
      <c r="BB22" s="30">
        <v>348</v>
      </c>
      <c r="BC22" s="30">
        <v>307</v>
      </c>
      <c r="BD22" s="30">
        <v>302</v>
      </c>
      <c r="BE22" s="30">
        <v>711</v>
      </c>
      <c r="BF22" s="30">
        <v>578</v>
      </c>
      <c r="BG22" s="30">
        <v>612</v>
      </c>
      <c r="BH22" s="30">
        <v>376</v>
      </c>
      <c r="BI22" s="30">
        <v>302</v>
      </c>
      <c r="BJ22" s="30">
        <v>327</v>
      </c>
      <c r="BK22" s="30">
        <v>303</v>
      </c>
      <c r="BL22" s="30">
        <v>305</v>
      </c>
      <c r="BM22" s="30">
        <v>301</v>
      </c>
      <c r="BN22" s="30">
        <v>324</v>
      </c>
      <c r="BO22" s="30">
        <v>310</v>
      </c>
      <c r="BP22" s="30">
        <v>303</v>
      </c>
      <c r="BQ22" s="30">
        <v>358</v>
      </c>
      <c r="BR22" s="30">
        <v>306</v>
      </c>
      <c r="BS22" s="30">
        <v>303</v>
      </c>
      <c r="BT22" s="30">
        <v>298</v>
      </c>
      <c r="BU22" s="30">
        <v>407</v>
      </c>
      <c r="BV22" s="30">
        <v>310</v>
      </c>
      <c r="BW22" s="30">
        <v>310</v>
      </c>
      <c r="BX22" s="30">
        <v>304</v>
      </c>
      <c r="BY22" s="30">
        <v>306</v>
      </c>
      <c r="BZ22" s="30">
        <v>387</v>
      </c>
      <c r="CA22" s="30">
        <v>297</v>
      </c>
      <c r="CB22" s="30">
        <v>583</v>
      </c>
      <c r="CC22" s="30">
        <v>516</v>
      </c>
      <c r="CD22" s="30">
        <v>300</v>
      </c>
      <c r="CE22" s="30">
        <v>309</v>
      </c>
      <c r="CF22" s="30">
        <v>296</v>
      </c>
      <c r="CG22" s="30">
        <v>389</v>
      </c>
      <c r="CH22" s="30">
        <v>310</v>
      </c>
      <c r="CI22" s="30">
        <v>306</v>
      </c>
      <c r="CJ22" s="30">
        <v>306</v>
      </c>
      <c r="CK22" s="30">
        <v>300</v>
      </c>
      <c r="CL22" s="30">
        <v>309</v>
      </c>
      <c r="CM22" s="30">
        <v>298</v>
      </c>
      <c r="CN22" s="30">
        <v>391</v>
      </c>
      <c r="CO22" s="30">
        <v>671</v>
      </c>
      <c r="CP22" s="30">
        <v>304</v>
      </c>
      <c r="CQ22" s="30">
        <v>305</v>
      </c>
      <c r="CR22" s="30">
        <v>426</v>
      </c>
      <c r="CS22" s="30">
        <v>656</v>
      </c>
      <c r="CT22" s="30">
        <v>370</v>
      </c>
      <c r="CU22" s="30">
        <v>302</v>
      </c>
      <c r="CV22" s="30">
        <v>305</v>
      </c>
      <c r="CW22" s="30">
        <v>298</v>
      </c>
      <c r="CX22" s="30">
        <v>299</v>
      </c>
      <c r="CY22" s="30">
        <v>308</v>
      </c>
      <c r="CZ22" s="30">
        <v>302</v>
      </c>
      <c r="DA22" s="30">
        <v>305</v>
      </c>
      <c r="DB22" s="30">
        <v>307</v>
      </c>
      <c r="DC22" s="30">
        <v>293</v>
      </c>
      <c r="DD22" s="30">
        <v>305</v>
      </c>
      <c r="DE22" s="30">
        <v>304</v>
      </c>
      <c r="DF22" s="30">
        <v>307</v>
      </c>
      <c r="DG22" s="30">
        <v>299</v>
      </c>
      <c r="DH22" s="30">
        <v>308</v>
      </c>
      <c r="DI22" s="30">
        <v>303</v>
      </c>
      <c r="DJ22" s="30">
        <v>303</v>
      </c>
      <c r="DK22" s="30">
        <v>302</v>
      </c>
      <c r="DL22" s="30">
        <v>310</v>
      </c>
      <c r="DM22" s="30">
        <v>296</v>
      </c>
      <c r="DN22" s="30">
        <v>298</v>
      </c>
      <c r="DO22" s="30">
        <v>302</v>
      </c>
      <c r="DP22" s="30">
        <v>302</v>
      </c>
      <c r="DQ22" s="30">
        <v>297</v>
      </c>
      <c r="DR22" s="30">
        <v>299</v>
      </c>
      <c r="DS22" s="30">
        <v>303</v>
      </c>
      <c r="DT22" s="30">
        <v>300</v>
      </c>
      <c r="DU22" s="30">
        <v>310</v>
      </c>
      <c r="DV22" s="30">
        <v>311</v>
      </c>
      <c r="DW22" s="30">
        <v>312</v>
      </c>
      <c r="DX22" s="30">
        <v>300</v>
      </c>
      <c r="DY22" s="30">
        <v>305</v>
      </c>
      <c r="DZ22" s="30">
        <v>301</v>
      </c>
      <c r="EA22" s="30">
        <v>315</v>
      </c>
      <c r="EB22" s="30">
        <v>312</v>
      </c>
      <c r="EC22" s="30">
        <v>307</v>
      </c>
      <c r="ED22" s="30">
        <v>299</v>
      </c>
      <c r="EE22" s="30">
        <v>305</v>
      </c>
      <c r="EF22" s="30">
        <v>305</v>
      </c>
      <c r="EG22" s="30">
        <v>299</v>
      </c>
      <c r="EH22" s="30">
        <v>308</v>
      </c>
      <c r="EI22" s="30">
        <v>301</v>
      </c>
      <c r="EJ22" s="30">
        <v>299</v>
      </c>
      <c r="EK22" s="30">
        <v>302</v>
      </c>
      <c r="EL22" s="30">
        <v>297</v>
      </c>
      <c r="EM22" s="30">
        <v>305</v>
      </c>
      <c r="EN22" s="30">
        <v>308</v>
      </c>
      <c r="EO22" s="30">
        <v>311</v>
      </c>
      <c r="EP22" s="30">
        <v>309</v>
      </c>
    </row>
  </sheetData>
  <mergeCells count="1">
    <mergeCell ref="A1:XFD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TABLE D1. DETECTION LIMITS 2009</vt:lpstr>
      <vt:lpstr>TABLE D2. DETECTION LIMITS 2010</vt:lpstr>
      <vt:lpstr>TABLE D3. DETECTION LIMITS 2010</vt:lpstr>
      <vt:lpstr>TABLE D4. DETECTION LIMITS 2010</vt:lpstr>
      <vt:lpstr>TABLE D5. DETECTION LIMITS 2012</vt:lpstr>
      <vt:lpstr>TABLE D6. DETECTION LIMITS 2012</vt:lpstr>
      <vt:lpstr>TABLE D7. DETECTION LIMITS 2018</vt:lpstr>
      <vt:lpstr>TABLE D8. DETECTION LIMITS 2018</vt:lpstr>
      <vt:lpstr>TABLE D9. DETECTION LIMITS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Marc Constantin</cp:lastModifiedBy>
  <dcterms:created xsi:type="dcterms:W3CDTF">2015-06-05T18:19:34Z</dcterms:created>
  <dcterms:modified xsi:type="dcterms:W3CDTF">2022-08-31T20:55:50Z</dcterms:modified>
</cp:coreProperties>
</file>